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tabRatio="604" activeTab="2"/>
  </bookViews>
  <sheets>
    <sheet name="Opći dio " sheetId="1" r:id="rId1"/>
    <sheet name="Prihodi i rashodi po EK.K" sheetId="2" r:id="rId2"/>
    <sheet name="Prihodi i rashodi PR,EK i IZ" sheetId="3" r:id="rId3"/>
  </sheets>
  <definedNames>
    <definedName name="_xlnm.Print_Area" localSheetId="1">'Prihodi i rashodi po EK.K'!$A$1:$G$107</definedName>
    <definedName name="_xlnm.Print_Area" localSheetId="2">'Prihodi i rashodi PR,EK i IZ'!$A$1:$H$612</definedName>
  </definedNames>
  <calcPr fullCalcOnLoad="1"/>
</workbook>
</file>

<file path=xl/sharedStrings.xml><?xml version="1.0" encoding="utf-8"?>
<sst xmlns="http://schemas.openxmlformats.org/spreadsheetml/2006/main" count="923" uniqueCount="277">
  <si>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</si>
  <si>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</si>
  <si>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</si>
  <si>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</si>
  <si>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</si>
  <si>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</si>
  <si>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</si>
  <si>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</si>
  <si>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</si>
  <si>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</si>
  <si>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</si>
  <si>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</si>
  <si>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</si>
  <si>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</si>
  <si>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</si>
  <si>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</si>
  <si>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</si>
  <si>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</si>
  <si>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</si>
  <si>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</si>
  <si>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</si>
  <si>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</si>
  <si>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</si>
  <si>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</si>
  <si>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</si>
  <si>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</si>
  <si>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</si>
  <si>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</si>
  <si>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Pomoći iz inozemstva i od subjekata unutar općeg proračuna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</si>
  <si>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</si>
  <si>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</si>
  <si>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</si>
  <si>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</t>
  </si>
  <si>
    <t>Prihodi od prodaje proizvoda i robe te pruženih usluga i prihodi od donacija</t>
  </si>
  <si>
    <t>Prihodi po posebnim propisima</t>
  </si>
  <si>
    <t>UKUPNO Izvor financiranja Vlastiti prihodi - preneseni višak</t>
  </si>
  <si>
    <t>UKUPNO Izvor financiranja Prihodi za posebne namjene - preneseni višak</t>
  </si>
  <si>
    <t>Pomoći proračunskim korisnicima iz proračuna koji im nije nadležan</t>
  </si>
  <si>
    <t>Sveukupno rashodi</t>
  </si>
  <si>
    <t>Sveukupno prihodi</t>
  </si>
  <si>
    <t>Sveukupno prihodi + preneseni višak</t>
  </si>
  <si>
    <t xml:space="preserve">PRIHODI </t>
  </si>
  <si>
    <t>RASHODI</t>
  </si>
  <si>
    <t xml:space="preserve">Ukupni prihodi </t>
  </si>
  <si>
    <t>Ukupni rashodi</t>
  </si>
  <si>
    <t>Oznaka IF</t>
  </si>
  <si>
    <t xml:space="preserve">Naziv izvora financiranja </t>
  </si>
  <si>
    <t xml:space="preserve">KORIŠTENJE PRENESENOG VIŠKA </t>
  </si>
  <si>
    <t xml:space="preserve">Rashodi za usluge </t>
  </si>
  <si>
    <t xml:space="preserve">PREGLED UKUPNIH PRIHODA I RASHODA PO IZVORIMA FINANCIRANJA </t>
  </si>
  <si>
    <t>Indeks</t>
  </si>
  <si>
    <t>6=5/2*100</t>
  </si>
  <si>
    <t>7=5/4*100</t>
  </si>
  <si>
    <t>Račun rashoda/
izdatka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</si>
  <si>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</si>
  <si>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</si>
  <si>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</si>
  <si>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</si>
  <si>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</si>
  <si>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</si>
  <si>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</si>
  <si>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</si>
  <si>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</si>
  <si>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</si>
  <si>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</si>
  <si>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</si>
  <si>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</si>
  <si>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</si>
  <si>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</si>
  <si>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</si>
  <si>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</si>
  <si>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</si>
  <si>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</si>
  <si>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</si>
  <si>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</si>
  <si>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</si>
  <si>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</si>
  <si>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</si>
  <si>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</si>
  <si>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</si>
  <si>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</si>
  <si>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</si>
  <si>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</si>
  <si>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</si>
  <si>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</si>
  <si>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 xml:space="preserve">RAZLIKA </t>
  </si>
  <si>
    <t xml:space="preserve">RAZLIKA  </t>
  </si>
  <si>
    <t xml:space="preserve">UKUPNO PRIHODI </t>
  </si>
  <si>
    <t>Ukupno</t>
  </si>
  <si>
    <t>UKUPNO RASHODI</t>
  </si>
  <si>
    <t>PO EKONOMSKOJ KLASIFIKACIJI</t>
  </si>
  <si>
    <t>Ostali nespomenuti prihodi po posebnim propisima</t>
  </si>
  <si>
    <t xml:space="preserve">Donacije od pravnih i fizičkih osoba </t>
  </si>
  <si>
    <t>Pomoći iz drž.pror.temeljem prijenosa EU sredstava</t>
  </si>
  <si>
    <t>Stručno usavršavanje zaposlenika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</si>
  <si>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</si>
  <si>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</si>
  <si>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</si>
  <si>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</si>
  <si>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</si>
  <si>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</si>
  <si>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</si>
  <si>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</si>
  <si>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</si>
  <si>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 xml:space="preserve">Naknade građanima i kućanstvima </t>
  </si>
  <si>
    <t>Ostale naknade građanima i kućanstvim aiz proračuna</t>
  </si>
  <si>
    <t>Naknade građanima i kućanstvima u naravi</t>
  </si>
  <si>
    <t>Kapitalne pomoći pror.korisnicima iz pror.koji im nije nadležan</t>
  </si>
  <si>
    <t>Ostali nespomenuti prihodi po mposebnim propisima</t>
  </si>
  <si>
    <t>Materijal i dijelovi za tekuće i investicijsko održ.</t>
  </si>
  <si>
    <t>Usluge telefona,pošte i prijevoza</t>
  </si>
  <si>
    <t>Rashodi za nabavu proizv.dugotrajne imovine</t>
  </si>
  <si>
    <t>Knjige,umjetnička djela</t>
  </si>
  <si>
    <t>Rashodi za nabavu nefinancijske imovine</t>
  </si>
  <si>
    <t>Plaće (bruto)</t>
  </si>
  <si>
    <t>Ostali rashodi za zaposlene</t>
  </si>
  <si>
    <t>Naknade građanima i kućastvima u novcu</t>
  </si>
  <si>
    <r>
      <t xml:space="preserve">IZVJEŠTAJ O IZVRŠENJU FINANCIJSKOG PLANA 
</t>
    </r>
    <r>
      <rPr>
        <b/>
        <sz val="16"/>
        <color indexed="10"/>
        <rFont val="Times New Roman"/>
        <family val="1"/>
      </rPr>
      <t>PO PROGRAMSKOJ, EKONOMSKOJ I IZVORIMA FINANCIRANJA</t>
    </r>
  </si>
  <si>
    <t>Prihodi od imovine</t>
  </si>
  <si>
    <t>Kamate na oročena sredstva i depozite po viđenje</t>
  </si>
  <si>
    <t>Usluge promidžbe i informiranja</t>
  </si>
  <si>
    <t>Premije osiguranja</t>
  </si>
  <si>
    <t>Tekuće donacije u novcu</t>
  </si>
  <si>
    <t>Ostali rashodi</t>
  </si>
  <si>
    <t>Višak prihoda</t>
  </si>
  <si>
    <t>Rezultat poslovanja</t>
  </si>
  <si>
    <t xml:space="preserve">PRIHODI PO IZVORIMA FINANCIRANJA </t>
  </si>
  <si>
    <t xml:space="preserve"> Tekuće pomoći prorač.korisnicima iz proračuna</t>
  </si>
  <si>
    <t>Naknade troškova osobama izvan radnog odnosa</t>
  </si>
  <si>
    <t>Knjige, umjetnička djela i ostale izložbene vrijednosti</t>
  </si>
  <si>
    <t>Ostale naknade građanima i kućanstvima u naravi</t>
  </si>
  <si>
    <t>Ravnatelj</t>
  </si>
  <si>
    <t>Izvorni plan 2021</t>
  </si>
  <si>
    <t xml:space="preserve">Ostvarenje/
izvršenje 2021. </t>
  </si>
  <si>
    <t>Troškovi sudskih postupaka</t>
  </si>
  <si>
    <t>Zatezne kamate</t>
  </si>
  <si>
    <t>Naknada za korištenje privatnog automobila</t>
  </si>
  <si>
    <t>Manjak prihoda</t>
  </si>
  <si>
    <t>UKUPNO PRIHODI+PRENESENI VIŠAK/MANJAK</t>
  </si>
  <si>
    <t>Prihodi od obavljanja vlastite djelatnosti</t>
  </si>
  <si>
    <t>Tekuće pomoći od ostalih korisnika đržavnog proračuna</t>
  </si>
  <si>
    <t>Prihodi od financijske imovine</t>
  </si>
  <si>
    <t>kamate na depozite po viđenju</t>
  </si>
  <si>
    <t>Tekuće pomoći od ostalih korisnika đržavnog proračuna - za potzrebe projekta E-RAZMUS</t>
  </si>
  <si>
    <r>
      <t xml:space="preserve">Tekuće pomoći od </t>
    </r>
    <r>
      <rPr>
        <i/>
        <sz val="10"/>
        <rFont val="Times New Roman"/>
        <family val="1"/>
      </rPr>
      <t>lokalnog nenedležnog</t>
    </r>
    <r>
      <rPr>
        <i/>
        <sz val="11"/>
        <rFont val="Times New Roman"/>
        <family val="1"/>
      </rPr>
      <t xml:space="preserve"> proračuna</t>
    </r>
  </si>
  <si>
    <t>Tekuće pomoći od HZMO-a, HZZ-a i HZZO-a</t>
  </si>
  <si>
    <t>Višak prihoda poslovanja</t>
  </si>
  <si>
    <t>Vlastiti prihodi - najam</t>
  </si>
  <si>
    <t>Naknade za korištenje privatnog automobila zaposlenika</t>
  </si>
  <si>
    <t>Sitan inventar</t>
  </si>
  <si>
    <t>Zakupnine i najamnine uza opremu</t>
  </si>
  <si>
    <t>Obavezni i preventivni zdravstveni pregledi zaposlenika</t>
  </si>
  <si>
    <t>Aktivnost M033200A320001 Redovna programska djelatnost</t>
  </si>
  <si>
    <t>PROGRAM M033200 Minimalni fin. Standard</t>
  </si>
  <si>
    <t>Aktivnost M033200A320002 Redovno održavanje objekta</t>
  </si>
  <si>
    <t>Izvor financiranja  1.2.1. Grad</t>
  </si>
  <si>
    <t>Aktivnost M033200A320003 Kapitalna ulaganja u opremu</t>
  </si>
  <si>
    <t>PROGRAM M033201 Šire javne potrebe iznad min. Standarda</t>
  </si>
  <si>
    <t>Aktivnost M033201A320102 Izvan nastavne i školske aktivnosti</t>
  </si>
  <si>
    <t>Izvor financiranja  3.1.1. Vlastiti prihodi</t>
  </si>
  <si>
    <t>Izvor financiranja  5.4.1. Pomoći iz županijskog proračuna</t>
  </si>
  <si>
    <t>Izvor financiranja  5.5.1. Pomoći iz drugih proračuna</t>
  </si>
  <si>
    <t>Aktivnost M033201A320105 Pomoćnici u nastavi</t>
  </si>
  <si>
    <t>Izvor financiranja 1.1.1. Prihodi od grada</t>
  </si>
  <si>
    <t>Aktivnost M033201A320107 Nabava udžbenika i pribora</t>
  </si>
  <si>
    <t>Izvor financiranja 5.3.1. Pomoći iz državnog proraćuna</t>
  </si>
  <si>
    <t>Aktivnost M033201A320111 Prometni odgoj i sigurnost u prometu</t>
  </si>
  <si>
    <t>ostale uslugeza komunikaciju i prijevoz</t>
  </si>
  <si>
    <t>Aktivnost M033201A320112 Vlastita i namjenska sredstva osnovnih škola</t>
  </si>
  <si>
    <t>Ostale nespomenute usluge</t>
  </si>
  <si>
    <t>Aktivnost M033201A320125 Projekt E-škole</t>
  </si>
  <si>
    <t>Izvor financiranja  5.1.1. Pomoći od međunarodnih organizacija</t>
  </si>
  <si>
    <t>Promidžbeni materijal</t>
  </si>
  <si>
    <t>Premiije osiguranja</t>
  </si>
  <si>
    <t>Aktivnost M033201T320119 EU-projekti</t>
  </si>
  <si>
    <t>Aktivnost M033201T320122 "S pomoćnikom mogu bolje III"</t>
  </si>
  <si>
    <t>Aktivnost M033201T320125 "S pomoćnikom mogu bolje IV"</t>
  </si>
  <si>
    <t>PROGRAM M033202 Kapitalna ulaganja u osnovnu škoju - iznad standarda</t>
  </si>
  <si>
    <t>Aktivnost M033202T320215 Nabava školske lektire</t>
  </si>
  <si>
    <t>PROGRAM M033203 Rashodi za zaposlene u osnovnim školama</t>
  </si>
  <si>
    <t>Aktivnost M033203A320301 Rashodi za zaposlene</t>
  </si>
  <si>
    <t>Izvor financiranja  4.3.1. Vlastiti prihodi za posebne namjene</t>
  </si>
  <si>
    <t>Materijal i dijelovi za tekuće i inv. održananje objekata</t>
  </si>
  <si>
    <t>Izvor financiranja  4.3.1. Vlastiti prihodi - posebne namjene</t>
  </si>
  <si>
    <t>Materijal i dijelovi za tekuće i inv. Održavanje opreme</t>
  </si>
  <si>
    <t>Naknada za prijevoz</t>
  </si>
  <si>
    <t>Laboratorijske usluge</t>
  </si>
  <si>
    <t xml:space="preserve"> Pomoći iz državnog proraćuna</t>
  </si>
  <si>
    <t>5.3.1.</t>
  </si>
  <si>
    <t>Vlastiti prihodi - posebne namjene</t>
  </si>
  <si>
    <t xml:space="preserve">4.3.1. </t>
  </si>
  <si>
    <t>Pomoći iz drugih proračuna</t>
  </si>
  <si>
    <t xml:space="preserve">5.5.1. </t>
  </si>
  <si>
    <t xml:space="preserve">3.1.1. </t>
  </si>
  <si>
    <t xml:space="preserve">Prihodi od grada  </t>
  </si>
  <si>
    <t>Pomoći od međunarodnih organizacija</t>
  </si>
  <si>
    <t xml:space="preserve">5.1.1. </t>
  </si>
  <si>
    <t>Prihodi od grada</t>
  </si>
  <si>
    <t>3.1.1.</t>
  </si>
  <si>
    <t>Vlastiti prihodi - posebne namjene - marende</t>
  </si>
  <si>
    <t xml:space="preserve"> 4.3.1. </t>
  </si>
  <si>
    <t>Pomoći iz državnog proraćuna</t>
  </si>
  <si>
    <t xml:space="preserve">5.3.1. </t>
  </si>
  <si>
    <t>Pomoći iz županijskog proračuna</t>
  </si>
  <si>
    <t xml:space="preserve">5.4.1. </t>
  </si>
  <si>
    <t>Izvor financiranja 3.1.1. - Vlastiti prihodi - najam</t>
  </si>
  <si>
    <t>Izvor financiranja 4.3.1. - Vlastiti prihodi - marende</t>
  </si>
  <si>
    <t>Izvor financiranja 5.1.1. Pomoći od međunarodnih organizacija- projekt E-RAZMUS</t>
  </si>
  <si>
    <t>Izvor financiranja 5.5.1. Pomoći iz drugih proračuna</t>
  </si>
  <si>
    <t>Izvor financiranja 5.4.1. Pomoći iz županijskog proračuna</t>
  </si>
  <si>
    <t>UKUPNO Izvor financiranja Prihodi grad</t>
  </si>
  <si>
    <t>UKUPNO Izvor financiranja Pomoći iz državnog proraćuna</t>
  </si>
  <si>
    <t>UKUPNO Izvor financiranja Vlastiti prihodi - najam</t>
  </si>
  <si>
    <t>UKUPNO Izvor financiranja Vlastiti prihodi - marende</t>
  </si>
  <si>
    <t>UKUPNO Izvor financiranja Pomoći iz županijskog proračuna</t>
  </si>
  <si>
    <t>UKUPNO Izvor financiranja Pomoći iz drugih proračuna</t>
  </si>
  <si>
    <t>UKUPNO Izvor financiranja Pomoći od međunarodnih organizacija- projekt E-RAZMUS</t>
  </si>
  <si>
    <t>4.3.1.</t>
  </si>
  <si>
    <t>5 .1.1.</t>
  </si>
  <si>
    <t>5.5.1.</t>
  </si>
  <si>
    <t>Izvor financiranja  1.2.1. Prihod grad</t>
  </si>
  <si>
    <t>Aktivnost M033201A320107 Hitne intervencije</t>
  </si>
  <si>
    <t>Aktivnost M033202K320201 Kupnja opreme za školu</t>
  </si>
  <si>
    <t>Matija Šitum</t>
  </si>
  <si>
    <t>U Žrnovnici,</t>
  </si>
  <si>
    <t>Vlastiti prihodi  - višak</t>
  </si>
  <si>
    <t>Tekući plan 2022</t>
  </si>
  <si>
    <t>Tečajne razlike</t>
  </si>
  <si>
    <t>Izvorni plan 2022</t>
  </si>
  <si>
    <t>Izvor financiranja 5.4.1. pomoći iz međunarodnih organizacija i tijela - EU</t>
  </si>
  <si>
    <t>Ostala uredska oprema</t>
  </si>
  <si>
    <t>Ostali meterijal</t>
  </si>
  <si>
    <t>Seminari, savjetovanja</t>
  </si>
  <si>
    <t>Pomoći od međunarodnih organizacija - višak</t>
  </si>
  <si>
    <t>Vlastiti prihodi - posebne namjene - višak</t>
  </si>
  <si>
    <t xml:space="preserve">Ostvarenje 2021. </t>
  </si>
  <si>
    <t>Naknada tr. osobama izvan radnog odnosa</t>
  </si>
  <si>
    <t>Bankarske usluge</t>
  </si>
  <si>
    <t>Usluge</t>
  </si>
  <si>
    <t xml:space="preserve">IZVJEŠTAJ O IZVRŠENJU-OSTVARENJU FINANCIJSKOG PLANA </t>
  </si>
  <si>
    <t>za 2022.g.</t>
  </si>
  <si>
    <t xml:space="preserve">Ostvarenje/
izvršenje 2022. </t>
  </si>
  <si>
    <t>Oprema za grijanje</t>
  </si>
  <si>
    <t>Rashodi poslovanja</t>
  </si>
  <si>
    <t xml:space="preserve">Ostvarenje/
izvršenje  2022. </t>
  </si>
  <si>
    <t>Izvor financiranja  1.2.1. i 1.1.1. Prihodi grad</t>
  </si>
  <si>
    <t>1.1.1/1.2.1.</t>
  </si>
  <si>
    <t>Izvor financiranja 3.1.1. - Vlastiti prihodi - najam - preneseni višak</t>
  </si>
  <si>
    <t>Izvor financiranja 4.3.1. Vlastiti prihodi - marende - preneseni višak</t>
  </si>
  <si>
    <t>Izvor financiranja  1.1.1. Grad</t>
  </si>
  <si>
    <t>Seminari, savjetovanja i simpoziji</t>
  </si>
  <si>
    <t>Ostale naknade troškova zaposlenima</t>
  </si>
  <si>
    <t>Ostale naknade troškova zaposlenim</t>
  </si>
  <si>
    <t>Aktivnost M033201T320105 "S pomoćnikom mogu bolje V"</t>
  </si>
  <si>
    <t>Uređaji, strojevi i oprema za ostale namjene</t>
  </si>
  <si>
    <t>5.4.1.</t>
  </si>
  <si>
    <t xml:space="preserve"> Pomoći iz županijskog proračuna</t>
  </si>
  <si>
    <t>09.02.2023.</t>
  </si>
  <si>
    <t>1.1.1./1.2.2.</t>
  </si>
  <si>
    <t>I. OPĆI DIO</t>
  </si>
  <si>
    <t>A) SAŽETAK RAČUNA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</si>
  <si>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</si>
  <si>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</si>
  <si>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</si>
  <si>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</si>
  <si>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</si>
  <si>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</si>
  <si>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</si>
  <si>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</si>
  <si>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</si>
  <si>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</si>
  <si>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</si>
  <si>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</si>
  <si>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</si>
  <si>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</si>
  <si>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</si>
  <si>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t>GODIŠNJI  IZVJEŠTAJ O IZVRŠENJU FINANCIJSKOG PLANA ZA 2022. GODINU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</si>
</sst>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8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sz val="15"/>
      <name val="Times New Roman"/>
      <family val="1"/>
    </font>
    <font>
      <i/>
      <sz val="15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6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0" fillId="19" borderId="1" applyNumberFormat="0" applyFont="0" applyAlignment="0" applyProtection="0"/>
    <xf numFmtId="0" fontId="6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2" fillId="27" borderId="2" applyNumberFormat="0" applyAlignment="0" applyProtection="0"/>
    <xf numFmtId="0" fontId="63" fillId="27" borderId="3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76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3" fontId="9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lef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12" fillId="0" borderId="0" xfId="0" applyNumberFormat="1" applyFont="1" applyAlignment="1">
      <alignment/>
    </xf>
    <xf numFmtId="49" fontId="8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 wrapText="1"/>
    </xf>
    <xf numFmtId="3" fontId="10" fillId="0" borderId="18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2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5" fillId="0" borderId="10" xfId="0" applyNumberFormat="1" applyFont="1" applyBorder="1" applyAlignment="1" quotePrefix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 wrapText="1"/>
    </xf>
    <xf numFmtId="3" fontId="13" fillId="0" borderId="27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 quotePrefix="1">
      <alignment horizontal="left" vertical="center"/>
    </xf>
    <xf numFmtId="3" fontId="9" fillId="0" borderId="12" xfId="0" applyNumberFormat="1" applyFont="1" applyBorder="1" applyAlignment="1" quotePrefix="1">
      <alignment horizontal="right" vertical="center"/>
    </xf>
    <xf numFmtId="3" fontId="10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 quotePrefix="1">
      <alignment horizontal="center" vertical="center"/>
    </xf>
    <xf numFmtId="3" fontId="9" fillId="0" borderId="25" xfId="0" applyNumberFormat="1" applyFont="1" applyBorder="1" applyAlignment="1" quotePrefix="1">
      <alignment horizontal="center" vertical="center"/>
    </xf>
    <xf numFmtId="3" fontId="9" fillId="0" borderId="26" xfId="0" applyNumberFormat="1" applyFont="1" applyBorder="1" applyAlignment="1" quotePrefix="1">
      <alignment horizontal="left" vertical="center"/>
    </xf>
    <xf numFmtId="3" fontId="9" fillId="0" borderId="26" xfId="0" applyNumberFormat="1" applyFont="1" applyBorder="1" applyAlignment="1" quotePrefix="1">
      <alignment horizontal="right" vertical="center"/>
    </xf>
    <xf numFmtId="3" fontId="16" fillId="0" borderId="0" xfId="0" applyNumberFormat="1" applyFont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wrapText="1"/>
    </xf>
    <xf numFmtId="3" fontId="9" fillId="32" borderId="15" xfId="0" applyNumberFormat="1" applyFont="1" applyFill="1" applyBorder="1" applyAlignment="1">
      <alignment horizontal="right" vertical="center"/>
    </xf>
    <xf numFmtId="3" fontId="9" fillId="32" borderId="12" xfId="0" applyNumberFormat="1" applyFont="1" applyFill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1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 wrapText="1"/>
    </xf>
    <xf numFmtId="3" fontId="9" fillId="33" borderId="12" xfId="0" applyNumberFormat="1" applyFont="1" applyFill="1" applyBorder="1" applyAlignment="1">
      <alignment horizontal="right" vertical="center"/>
    </xf>
    <xf numFmtId="0" fontId="9" fillId="32" borderId="11" xfId="0" applyNumberFormat="1" applyFont="1" applyFill="1" applyBorder="1" applyAlignment="1">
      <alignment horizontal="left" vertical="center"/>
    </xf>
    <xf numFmtId="3" fontId="9" fillId="32" borderId="12" xfId="0" applyNumberFormat="1" applyFont="1" applyFill="1" applyBorder="1" applyAlignment="1">
      <alignment horizontal="left" vertical="center" wrapText="1"/>
    </xf>
    <xf numFmtId="3" fontId="9" fillId="32" borderId="12" xfId="0" applyNumberFormat="1" applyFont="1" applyFill="1" applyBorder="1" applyAlignment="1">
      <alignment horizontal="right" vertical="center"/>
    </xf>
    <xf numFmtId="3" fontId="10" fillId="32" borderId="12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 wrapText="1"/>
    </xf>
    <xf numFmtId="3" fontId="9" fillId="32" borderId="21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3" fontId="9" fillId="33" borderId="29" xfId="0" applyNumberFormat="1" applyFont="1" applyFill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32" borderId="23" xfId="0" applyNumberFormat="1" applyFont="1" applyFill="1" applyBorder="1" applyAlignment="1">
      <alignment horizontal="right" vertical="center"/>
    </xf>
    <xf numFmtId="3" fontId="9" fillId="32" borderId="30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vertic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9" fillId="32" borderId="12" xfId="0" applyNumberFormat="1" applyFont="1" applyFill="1" applyBorder="1" applyAlignment="1">
      <alignment horizontal="right" wrapText="1"/>
    </xf>
    <xf numFmtId="3" fontId="9" fillId="33" borderId="12" xfId="0" applyNumberFormat="1" applyFont="1" applyFill="1" applyBorder="1" applyAlignment="1">
      <alignment horizontal="right" wrapText="1"/>
    </xf>
    <xf numFmtId="0" fontId="10" fillId="32" borderId="12" xfId="0" applyFont="1" applyFill="1" applyBorder="1" applyAlignment="1">
      <alignment horizontal="left" vertical="center" wrapText="1"/>
    </xf>
    <xf numFmtId="3" fontId="10" fillId="32" borderId="12" xfId="0" applyNumberFormat="1" applyFont="1" applyFill="1" applyBorder="1" applyAlignment="1">
      <alignment horizontal="right" vertical="center"/>
    </xf>
    <xf numFmtId="3" fontId="9" fillId="32" borderId="31" xfId="0" applyNumberFormat="1" applyFont="1" applyFill="1" applyBorder="1" applyAlignment="1" quotePrefix="1">
      <alignment horizontal="right" vertical="center"/>
    </xf>
    <xf numFmtId="3" fontId="9" fillId="32" borderId="15" xfId="0" applyNumberFormat="1" applyFont="1" applyFill="1" applyBorder="1" applyAlignment="1">
      <alignment horizontal="right" vertical="center" wrapText="1"/>
    </xf>
    <xf numFmtId="3" fontId="9" fillId="32" borderId="12" xfId="0" applyNumberFormat="1" applyFont="1" applyFill="1" applyBorder="1" applyAlignment="1">
      <alignment horizontal="righ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3" fontId="9" fillId="32" borderId="31" xfId="0" applyNumberFormat="1" applyFont="1" applyFill="1" applyBorder="1" applyAlignment="1" quotePrefix="1">
      <alignment horizontal="right" vertical="center"/>
    </xf>
    <xf numFmtId="0" fontId="9" fillId="32" borderId="1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left" vertical="center" wrapText="1"/>
    </xf>
    <xf numFmtId="3" fontId="9" fillId="32" borderId="12" xfId="0" applyNumberFormat="1" applyFont="1" applyFill="1" applyBorder="1" applyAlignment="1">
      <alignment horizontal="right" vertical="center" wrapText="1"/>
    </xf>
    <xf numFmtId="3" fontId="5" fillId="32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10" fillId="32" borderId="11" xfId="0" applyFont="1" applyFill="1" applyBorder="1" applyAlignment="1">
      <alignment horizontal="left" vertical="center"/>
    </xf>
    <xf numFmtId="3" fontId="10" fillId="32" borderId="12" xfId="0" applyNumberFormat="1" applyFont="1" applyFill="1" applyBorder="1" applyAlignment="1">
      <alignment horizontal="right" vertical="center" wrapText="1"/>
    </xf>
    <xf numFmtId="0" fontId="10" fillId="32" borderId="11" xfId="0" applyNumberFormat="1" applyFont="1" applyFill="1" applyBorder="1" applyAlignment="1">
      <alignment horizontal="left" vertical="center"/>
    </xf>
    <xf numFmtId="3" fontId="10" fillId="32" borderId="12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3" fontId="9" fillId="0" borderId="3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8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 quotePrefix="1">
      <alignment horizontal="center" vertical="center" wrapText="1"/>
    </xf>
    <xf numFmtId="3" fontId="77" fillId="0" borderId="10" xfId="0" applyNumberFormat="1" applyFont="1" applyBorder="1" applyAlignment="1" quotePrefix="1">
      <alignment horizontal="left"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 quotePrefix="1">
      <alignment horizontal="right" vertical="center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quotePrefix="1">
      <alignment horizontal="center"/>
    </xf>
    <xf numFmtId="0" fontId="13" fillId="0" borderId="10" xfId="51" applyNumberFormat="1" applyFont="1" applyBorder="1" applyAlignment="1">
      <alignment horizontal="center" vertical="center" wrapText="1"/>
      <protection/>
    </xf>
    <xf numFmtId="3" fontId="13" fillId="0" borderId="10" xfId="51" applyNumberFormat="1" applyFont="1" applyBorder="1" applyAlignment="1" quotePrefix="1">
      <alignment horizontal="center" vertical="center" wrapText="1"/>
      <protection/>
    </xf>
    <xf numFmtId="3" fontId="77" fillId="0" borderId="10" xfId="0" applyNumberFormat="1" applyFont="1" applyBorder="1" applyAlignment="1" quotePrefix="1">
      <alignment horizontal="left" vertical="center" wrapText="1"/>
    </xf>
    <xf numFmtId="3" fontId="9" fillId="32" borderId="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 quotePrefix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/>
    </xf>
    <xf numFmtId="3" fontId="10" fillId="0" borderId="12" xfId="0" applyNumberFormat="1" applyFont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3" fontId="9" fillId="32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3" fontId="78" fillId="0" borderId="10" xfId="0" applyNumberFormat="1" applyFont="1" applyBorder="1" applyAlignment="1" quotePrefix="1">
      <alignment horizontal="center" vertical="center"/>
    </xf>
    <xf numFmtId="3" fontId="10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 vertical="center"/>
    </xf>
    <xf numFmtId="0" fontId="9" fillId="32" borderId="35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wrapText="1"/>
    </xf>
    <xf numFmtId="3" fontId="9" fillId="32" borderId="14" xfId="0" applyNumberFormat="1" applyFont="1" applyFill="1" applyBorder="1" applyAlignment="1">
      <alignment horizontal="right" vertical="center"/>
    </xf>
    <xf numFmtId="3" fontId="9" fillId="32" borderId="36" xfId="0" applyNumberFormat="1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wrapText="1"/>
    </xf>
    <xf numFmtId="3" fontId="10" fillId="34" borderId="12" xfId="0" applyNumberFormat="1" applyFont="1" applyFill="1" applyBorder="1" applyAlignment="1">
      <alignment horizontal="right" wrapText="1"/>
    </xf>
    <xf numFmtId="3" fontId="10" fillId="34" borderId="12" xfId="0" applyNumberFormat="1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0" fontId="10" fillId="32" borderId="37" xfId="0" applyFont="1" applyFill="1" applyBorder="1" applyAlignment="1">
      <alignment horizontal="center" vertical="center"/>
    </xf>
    <xf numFmtId="3" fontId="10" fillId="32" borderId="12" xfId="0" applyNumberFormat="1" applyFont="1" applyFill="1" applyBorder="1" applyAlignment="1">
      <alignment vertical="center"/>
    </xf>
    <xf numFmtId="0" fontId="9" fillId="32" borderId="24" xfId="0" applyFont="1" applyFill="1" applyBorder="1" applyAlignment="1">
      <alignment horizontal="center" vertical="center"/>
    </xf>
    <xf numFmtId="3" fontId="9" fillId="32" borderId="38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3" fontId="10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3" fontId="8" fillId="0" borderId="26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32" borderId="14" xfId="0" applyNumberFormat="1" applyFont="1" applyFill="1" applyBorder="1" applyAlignment="1">
      <alignment horizontal="right" vertical="center" wrapText="1"/>
    </xf>
    <xf numFmtId="3" fontId="9" fillId="32" borderId="34" xfId="0" applyNumberFormat="1" applyFont="1" applyFill="1" applyBorder="1" applyAlignment="1">
      <alignment horizontal="right" vertical="center"/>
    </xf>
    <xf numFmtId="3" fontId="9" fillId="32" borderId="39" xfId="0" applyNumberFormat="1" applyFont="1" applyFill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wrapText="1"/>
    </xf>
    <xf numFmtId="3" fontId="10" fillId="0" borderId="39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wrapText="1"/>
    </xf>
    <xf numFmtId="3" fontId="9" fillId="0" borderId="34" xfId="0" applyNumberFormat="1" applyFont="1" applyFill="1" applyBorder="1" applyAlignment="1">
      <alignment horizontal="right" vertical="center"/>
    </xf>
    <xf numFmtId="3" fontId="10" fillId="0" borderId="12" xfId="0" applyNumberFormat="1" applyFont="1" applyBorder="1" applyAlignment="1">
      <alignment/>
    </xf>
    <xf numFmtId="3" fontId="9" fillId="33" borderId="12" xfId="0" applyNumberFormat="1" applyFont="1" applyFill="1" applyBorder="1" applyAlignment="1">
      <alignment horizontal="right"/>
    </xf>
    <xf numFmtId="0" fontId="10" fillId="0" borderId="24" xfId="0" applyNumberFormat="1" applyFont="1" applyBorder="1" applyAlignment="1" quotePrefix="1">
      <alignment horizontal="center" vertical="center" wrapText="1"/>
    </xf>
    <xf numFmtId="49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" fontId="5" fillId="0" borderId="12" xfId="0" applyNumberFormat="1" applyFont="1" applyBorder="1" applyAlignment="1" quotePrefix="1">
      <alignment horizontal="right" vertical="center"/>
    </xf>
    <xf numFmtId="0" fontId="0" fillId="0" borderId="18" xfId="0" applyBorder="1" applyAlignment="1">
      <alignment/>
    </xf>
    <xf numFmtId="3" fontId="10" fillId="0" borderId="12" xfId="0" applyNumberFormat="1" applyFont="1" applyBorder="1" applyAlignment="1">
      <alignment/>
    </xf>
    <xf numFmtId="0" fontId="10" fillId="0" borderId="25" xfId="0" applyNumberFormat="1" applyFont="1" applyBorder="1" applyAlignment="1">
      <alignment horizontal="left" vertical="center"/>
    </xf>
    <xf numFmtId="3" fontId="10" fillId="0" borderId="26" xfId="0" applyNumberFormat="1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vertical="center"/>
    </xf>
    <xf numFmtId="3" fontId="9" fillId="32" borderId="15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 wrapText="1"/>
    </xf>
    <xf numFmtId="3" fontId="9" fillId="32" borderId="12" xfId="0" applyNumberFormat="1" applyFont="1" applyFill="1" applyBorder="1" applyAlignment="1">
      <alignment vertical="center"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9" fillId="32" borderId="24" xfId="0" applyNumberFormat="1" applyFont="1" applyFill="1" applyBorder="1" applyAlignment="1" quotePrefix="1">
      <alignment horizontal="left" vertical="center" wrapText="1"/>
    </xf>
    <xf numFmtId="0" fontId="9" fillId="32" borderId="14" xfId="0" applyNumberFormat="1" applyFont="1" applyFill="1" applyBorder="1" applyAlignment="1" quotePrefix="1">
      <alignment horizontal="left" vertical="center" wrapText="1"/>
    </xf>
    <xf numFmtId="3" fontId="9" fillId="0" borderId="24" xfId="0" applyNumberFormat="1" applyFont="1" applyBorder="1" applyAlignment="1" quotePrefix="1">
      <alignment horizontal="center" vertical="center"/>
    </xf>
    <xf numFmtId="3" fontId="9" fillId="0" borderId="14" xfId="0" applyNumberFormat="1" applyFont="1" applyBorder="1" applyAlignment="1" quotePrefix="1">
      <alignment horizontal="left" vertical="center"/>
    </xf>
    <xf numFmtId="3" fontId="9" fillId="0" borderId="14" xfId="0" applyNumberFormat="1" applyFont="1" applyBorder="1" applyAlignment="1" quotePrefix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9" fillId="0" borderId="18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10" fillId="0" borderId="18" xfId="0" applyNumberFormat="1" applyFont="1" applyBorder="1" applyAlignment="1">
      <alignment/>
    </xf>
    <xf numFmtId="0" fontId="9" fillId="32" borderId="1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vertical="center"/>
    </xf>
    <xf numFmtId="3" fontId="8" fillId="0" borderId="15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 vertical="center"/>
    </xf>
    <xf numFmtId="3" fontId="8" fillId="0" borderId="12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38" xfId="0" applyNumberFormat="1" applyFont="1" applyFill="1" applyBorder="1" applyAlignment="1">
      <alignment horizontal="right" vertical="center"/>
    </xf>
    <xf numFmtId="3" fontId="9" fillId="32" borderId="17" xfId="0" applyNumberFormat="1" applyFont="1" applyFill="1" applyBorder="1" applyAlignment="1">
      <alignment horizontal="right" vertical="center"/>
    </xf>
    <xf numFmtId="3" fontId="9" fillId="32" borderId="40" xfId="0" applyNumberFormat="1" applyFont="1" applyFill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/>
    </xf>
    <xf numFmtId="3" fontId="9" fillId="0" borderId="41" xfId="0" applyNumberFormat="1" applyFont="1" applyFill="1" applyBorder="1" applyAlignment="1">
      <alignment horizontal="right" vertical="center"/>
    </xf>
    <xf numFmtId="3" fontId="9" fillId="32" borderId="10" xfId="0" applyNumberFormat="1" applyFont="1" applyFill="1" applyBorder="1" applyAlignment="1" quotePrefix="1">
      <alignment horizontal="right" vertical="center"/>
    </xf>
    <xf numFmtId="3" fontId="10" fillId="0" borderId="15" xfId="0" applyNumberFormat="1" applyFont="1" applyBorder="1" applyAlignment="1">
      <alignment horizontal="right"/>
    </xf>
    <xf numFmtId="0" fontId="8" fillId="0" borderId="17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3" fontId="10" fillId="33" borderId="14" xfId="0" applyNumberFormat="1" applyFont="1" applyFill="1" applyBorder="1" applyAlignment="1">
      <alignment horizontal="right" vertical="center" wrapText="1"/>
    </xf>
    <xf numFmtId="3" fontId="9" fillId="0" borderId="42" xfId="0" applyNumberFormat="1" applyFont="1" applyBorder="1" applyAlignment="1" quotePrefix="1">
      <alignment horizontal="center" vertical="center"/>
    </xf>
    <xf numFmtId="3" fontId="9" fillId="0" borderId="42" xfId="0" applyNumberFormat="1" applyFont="1" applyBorder="1" applyAlignment="1" quotePrefix="1">
      <alignment horizontal="left" vertical="center"/>
    </xf>
    <xf numFmtId="3" fontId="9" fillId="0" borderId="42" xfId="0" applyNumberFormat="1" applyFont="1" applyBorder="1" applyAlignment="1" quotePrefix="1">
      <alignment horizontal="right" vertical="center"/>
    </xf>
    <xf numFmtId="3" fontId="8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 quotePrefix="1">
      <alignment wrapText="1"/>
    </xf>
    <xf numFmtId="3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3" fontId="78" fillId="0" borderId="10" xfId="0" applyNumberFormat="1" applyFont="1" applyBorder="1" applyAlignment="1" quotePrefix="1">
      <alignment horizontal="center" vertical="center"/>
    </xf>
    <xf numFmtId="3" fontId="8" fillId="35" borderId="0" xfId="0" applyNumberFormat="1" applyFont="1" applyFill="1" applyAlignment="1">
      <alignment/>
    </xf>
    <xf numFmtId="3" fontId="77" fillId="0" borderId="10" xfId="0" applyNumberFormat="1" applyFont="1" applyBorder="1" applyAlignment="1" quotePrefix="1">
      <alignment horizontal="center" vertical="center" wrapText="1"/>
    </xf>
    <xf numFmtId="3" fontId="9" fillId="33" borderId="43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9" fillId="32" borderId="43" xfId="0" applyNumberFormat="1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3" fontId="10" fillId="0" borderId="18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9" fillId="32" borderId="46" xfId="0" applyNumberFormat="1" applyFont="1" applyFill="1" applyBorder="1" applyAlignment="1">
      <alignment horizontal="right" vertical="center"/>
    </xf>
    <xf numFmtId="49" fontId="9" fillId="0" borderId="47" xfId="0" applyNumberFormat="1" applyFont="1" applyFill="1" applyBorder="1" applyAlignment="1" quotePrefix="1">
      <alignment horizontal="left" vertical="center" wrapText="1"/>
    </xf>
    <xf numFmtId="3" fontId="9" fillId="0" borderId="47" xfId="0" applyNumberFormat="1" applyFont="1" applyFill="1" applyBorder="1" applyAlignment="1">
      <alignment horizontal="right" vertical="center"/>
    </xf>
    <xf numFmtId="49" fontId="9" fillId="0" borderId="33" xfId="0" applyNumberFormat="1" applyFont="1" applyFill="1" applyBorder="1" applyAlignment="1" quotePrefix="1">
      <alignment horizontal="left" vertical="center" wrapText="1"/>
    </xf>
    <xf numFmtId="3" fontId="9" fillId="0" borderId="33" xfId="0" applyNumberFormat="1" applyFont="1" applyFill="1" applyBorder="1" applyAlignment="1">
      <alignment horizontal="right" vertical="center"/>
    </xf>
    <xf numFmtId="3" fontId="21" fillId="33" borderId="0" xfId="0" applyNumberFormat="1" applyFont="1" applyFill="1" applyBorder="1" applyAlignment="1" quotePrefix="1">
      <alignment wrapText="1"/>
    </xf>
    <xf numFmtId="3" fontId="11" fillId="33" borderId="0" xfId="0" applyNumberFormat="1" applyFont="1" applyFill="1" applyBorder="1" applyAlignment="1" quotePrefix="1">
      <alignment horizontal="center" wrapText="1"/>
    </xf>
    <xf numFmtId="3" fontId="7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 quotePrefix="1">
      <alignment wrapText="1"/>
    </xf>
    <xf numFmtId="3" fontId="4" fillId="33" borderId="0" xfId="0" applyNumberFormat="1" applyFont="1" applyFill="1" applyBorder="1" applyAlignment="1" quotePrefix="1">
      <alignment horizontal="center"/>
    </xf>
    <xf numFmtId="3" fontId="77" fillId="0" borderId="10" xfId="0" applyNumberFormat="1" applyFont="1" applyBorder="1" applyAlignment="1" quotePrefix="1">
      <alignment horizontal="left" wrapText="1"/>
    </xf>
    <xf numFmtId="3" fontId="24" fillId="0" borderId="33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 quotePrefix="1">
      <alignment horizontal="center"/>
    </xf>
    <xf numFmtId="3" fontId="9" fillId="0" borderId="0" xfId="0" applyNumberFormat="1" applyFont="1" applyFill="1" applyBorder="1" applyAlignment="1" quotePrefix="1">
      <alignment horizontal="right" vertical="center"/>
    </xf>
    <xf numFmtId="3" fontId="1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0" fontId="74" fillId="0" borderId="33" xfId="0" applyFont="1" applyBorder="1" applyAlignment="1">
      <alignment horizontal="center" vertical="center"/>
    </xf>
    <xf numFmtId="0" fontId="79" fillId="0" borderId="33" xfId="0" applyFont="1" applyBorder="1" applyAlignment="1">
      <alignment horizontal="right" vertical="center"/>
    </xf>
    <xf numFmtId="0" fontId="29" fillId="0" borderId="48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center" wrapText="1"/>
    </xf>
    <xf numFmtId="0" fontId="29" fillId="0" borderId="22" xfId="0" applyNumberFormat="1" applyFont="1" applyFill="1" applyBorder="1" applyAlignment="1" applyProtection="1" quotePrefix="1">
      <alignment horizontal="left"/>
      <protection/>
    </xf>
    <xf numFmtId="0" fontId="29" fillId="34" borderId="10" xfId="0" applyNumberFormat="1" applyFont="1" applyFill="1" applyBorder="1" applyAlignment="1" applyProtection="1">
      <alignment horizontal="center" vertical="center" wrapText="1"/>
      <protection/>
    </xf>
    <xf numFmtId="3" fontId="29" fillId="36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29" fillId="36" borderId="1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9" fillId="33" borderId="48" xfId="0" applyNumberFormat="1" applyFont="1" applyFill="1" applyBorder="1" applyAlignment="1" quotePrefix="1">
      <alignment horizontal="right"/>
    </xf>
    <xf numFmtId="3" fontId="29" fillId="33" borderId="10" xfId="0" applyNumberFormat="1" applyFont="1" applyFill="1" applyBorder="1" applyAlignment="1" applyProtection="1">
      <alignment horizontal="right" wrapText="1"/>
      <protection/>
    </xf>
    <xf numFmtId="3" fontId="29" fillId="36" borderId="48" xfId="0" applyNumberFormat="1" applyFont="1" applyFill="1" applyBorder="1" applyAlignment="1" quotePrefix="1">
      <alignment horizontal="right"/>
    </xf>
    <xf numFmtId="0" fontId="31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Border="1" applyAlignment="1">
      <alignment horizontal="right"/>
    </xf>
    <xf numFmtId="0" fontId="29" fillId="34" borderId="10" xfId="0" applyNumberFormat="1" applyFont="1" applyFill="1" applyBorder="1" applyAlignment="1" applyProtection="1" quotePrefix="1">
      <alignment horizontal="center" vertical="center" wrapText="1"/>
      <protection/>
    </xf>
    <xf numFmtId="3" fontId="29" fillId="37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 quotePrefix="1">
      <alignment horizontal="center" vertical="center" wrapText="1"/>
    </xf>
    <xf numFmtId="3" fontId="7" fillId="0" borderId="10" xfId="0" applyNumberFormat="1" applyFont="1" applyBorder="1" applyAlignment="1" quotePrefix="1">
      <alignment wrapText="1"/>
    </xf>
    <xf numFmtId="0" fontId="0" fillId="0" borderId="10" xfId="0" applyBorder="1" applyAlignment="1">
      <alignment/>
    </xf>
    <xf numFmtId="3" fontId="9" fillId="37" borderId="10" xfId="0" applyNumberFormat="1" applyFont="1" applyFill="1" applyBorder="1" applyAlignment="1">
      <alignment horizontal="right" vertical="center"/>
    </xf>
    <xf numFmtId="3" fontId="13" fillId="0" borderId="49" xfId="0" applyNumberFormat="1" applyFont="1" applyBorder="1" applyAlignment="1" quotePrefix="1">
      <alignment horizontal="center" vertical="center" wrapText="1"/>
    </xf>
    <xf numFmtId="0" fontId="30" fillId="36" borderId="48" xfId="0" applyFont="1" applyFill="1" applyBorder="1" applyAlignment="1">
      <alignment horizontal="left" vertical="center"/>
    </xf>
    <xf numFmtId="0" fontId="30" fillId="36" borderId="22" xfId="0" applyFont="1" applyFill="1" applyBorder="1" applyAlignment="1">
      <alignment horizontal="left" vertical="center"/>
    </xf>
    <xf numFmtId="0" fontId="30" fillId="36" borderId="31" xfId="0" applyFont="1" applyFill="1" applyBorder="1" applyAlignment="1">
      <alignment horizontal="left" vertical="center"/>
    </xf>
    <xf numFmtId="0" fontId="29" fillId="0" borderId="50" xfId="0" applyFont="1" applyBorder="1" applyAlignment="1" quotePrefix="1">
      <alignment horizontal="center" wrapText="1"/>
    </xf>
    <xf numFmtId="0" fontId="29" fillId="0" borderId="47" xfId="0" applyFont="1" applyBorder="1" applyAlignment="1" quotePrefix="1">
      <alignment horizontal="center" wrapText="1"/>
    </xf>
    <xf numFmtId="0" fontId="29" fillId="0" borderId="51" xfId="0" applyFont="1" applyBorder="1" applyAlignment="1" quotePrefix="1">
      <alignment horizontal="center" wrapText="1"/>
    </xf>
    <xf numFmtId="0" fontId="29" fillId="0" borderId="52" xfId="0" applyFont="1" applyBorder="1" applyAlignment="1" quotePrefix="1">
      <alignment horizontal="center" wrapText="1"/>
    </xf>
    <xf numFmtId="0" fontId="29" fillId="0" borderId="33" xfId="0" applyFont="1" applyBorder="1" applyAlignment="1" quotePrefix="1">
      <alignment horizontal="center" wrapText="1"/>
    </xf>
    <xf numFmtId="0" fontId="29" fillId="0" borderId="53" xfId="0" applyFont="1" applyBorder="1" applyAlignment="1" quotePrefix="1">
      <alignment horizontal="center" wrapText="1"/>
    </xf>
    <xf numFmtId="0" fontId="30" fillId="36" borderId="48" xfId="0" applyNumberFormat="1" applyFont="1" applyFill="1" applyBorder="1" applyAlignment="1" applyProtection="1" quotePrefix="1">
      <alignment horizontal="left" vertical="center" wrapText="1"/>
      <protection/>
    </xf>
    <xf numFmtId="0" fontId="0" fillId="36" borderId="2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>
      <alignment wrapText="1"/>
    </xf>
    <xf numFmtId="0" fontId="29" fillId="33" borderId="48" xfId="0" applyNumberFormat="1" applyFont="1" applyFill="1" applyBorder="1" applyAlignment="1" applyProtection="1">
      <alignment horizontal="left" vertical="center" wrapText="1"/>
      <protection/>
    </xf>
    <xf numFmtId="0" fontId="29" fillId="33" borderId="22" xfId="0" applyNumberFormat="1" applyFont="1" applyFill="1" applyBorder="1" applyAlignment="1" applyProtection="1">
      <alignment horizontal="left" vertical="center" wrapText="1"/>
      <protection/>
    </xf>
    <xf numFmtId="0" fontId="29" fillId="33" borderId="31" xfId="0" applyNumberFormat="1" applyFont="1" applyFill="1" applyBorder="1" applyAlignment="1" applyProtection="1">
      <alignment horizontal="left" vertical="center" wrapText="1"/>
      <protection/>
    </xf>
    <xf numFmtId="0" fontId="29" fillId="36" borderId="48" xfId="0" applyNumberFormat="1" applyFont="1" applyFill="1" applyBorder="1" applyAlignment="1" applyProtection="1">
      <alignment horizontal="left" vertical="center" wrapText="1"/>
      <protection/>
    </xf>
    <xf numFmtId="0" fontId="29" fillId="36" borderId="22" xfId="0" applyNumberFormat="1" applyFont="1" applyFill="1" applyBorder="1" applyAlignment="1" applyProtection="1">
      <alignment horizontal="left" vertical="center" wrapText="1"/>
      <protection/>
    </xf>
    <xf numFmtId="0" fontId="29" fillId="36" borderId="31" xfId="0" applyNumberFormat="1" applyFont="1" applyFill="1" applyBorder="1" applyAlignment="1" applyProtection="1">
      <alignment horizontal="left" vertical="center" wrapText="1"/>
      <protection/>
    </xf>
    <xf numFmtId="0" fontId="30" fillId="0" borderId="48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30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0" fillId="0" borderId="10" xfId="0" applyFont="1" applyBorder="1" applyAlignment="1" quotePrefix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0" fillId="37" borderId="10" xfId="0" applyNumberFormat="1" applyFont="1" applyFill="1" applyBorder="1" applyAlignment="1" applyProtection="1" quotePrefix="1">
      <alignment horizontal="left" vertical="center" wrapText="1"/>
      <protection/>
    </xf>
    <xf numFmtId="0" fontId="0" fillId="37" borderId="10" xfId="0" applyNumberFormat="1" applyFont="1" applyFill="1" applyBorder="1" applyAlignment="1" applyProtection="1">
      <alignment vertical="center" wrapText="1"/>
      <protection/>
    </xf>
    <xf numFmtId="0" fontId="30" fillId="0" borderId="48" xfId="0" applyNumberFormat="1" applyFont="1" applyFill="1" applyBorder="1" applyAlignment="1" applyProtection="1">
      <alignment horizontal="left" vertical="center" wrapText="1"/>
      <protection/>
    </xf>
    <xf numFmtId="0" fontId="30" fillId="0" borderId="22" xfId="0" applyNumberFormat="1" applyFont="1" applyFill="1" applyBorder="1" applyAlignment="1" applyProtection="1">
      <alignment horizontal="left" vertical="center" wrapText="1"/>
      <protection/>
    </xf>
    <xf numFmtId="0" fontId="30" fillId="0" borderId="31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30" fillId="37" borderId="10" xfId="0" applyNumberFormat="1" applyFont="1" applyFill="1" applyBorder="1" applyAlignment="1" applyProtection="1">
      <alignment horizontal="left" vertical="center" wrapText="1"/>
      <protection/>
    </xf>
    <xf numFmtId="0" fontId="0" fillId="37" borderId="10" xfId="0" applyNumberFormat="1" applyFont="1" applyFill="1" applyBorder="1" applyAlignment="1" applyProtection="1">
      <alignment vertical="center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quotePrefix="1">
      <alignment horizontal="left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3" fontId="7" fillId="0" borderId="27" xfId="0" applyNumberFormat="1" applyFont="1" applyBorder="1" applyAlignment="1" quotePrefix="1">
      <alignment horizontal="center" vertical="center" wrapText="1"/>
    </xf>
    <xf numFmtId="3" fontId="7" fillId="0" borderId="54" xfId="0" applyNumberFormat="1" applyFont="1" applyBorder="1" applyAlignment="1" quotePrefix="1">
      <alignment horizontal="center" vertical="center" wrapText="1"/>
    </xf>
    <xf numFmtId="0" fontId="13" fillId="0" borderId="27" xfId="0" applyNumberFormat="1" applyFont="1" applyBorder="1" applyAlignment="1" quotePrefix="1">
      <alignment horizontal="center" vertical="center" wrapText="1"/>
    </xf>
    <xf numFmtId="0" fontId="7" fillId="0" borderId="27" xfId="0" applyNumberFormat="1" applyFont="1" applyBorder="1" applyAlignment="1" quotePrefix="1">
      <alignment horizontal="center" vertical="center" wrapText="1"/>
    </xf>
    <xf numFmtId="0" fontId="7" fillId="0" borderId="54" xfId="0" applyNumberFormat="1" applyFont="1" applyBorder="1" applyAlignment="1" quotePrefix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 quotePrefix="1">
      <alignment horizontal="center" vertical="center"/>
    </xf>
    <xf numFmtId="3" fontId="5" fillId="0" borderId="12" xfId="0" applyNumberFormat="1" applyFont="1" applyBorder="1" applyAlignment="1" quotePrefix="1">
      <alignment horizontal="center" vertical="center"/>
    </xf>
    <xf numFmtId="0" fontId="13" fillId="0" borderId="10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 quotePrefix="1">
      <alignment horizontal="center" vertical="center"/>
    </xf>
    <xf numFmtId="0" fontId="82" fillId="0" borderId="0" xfId="0" applyFont="1" applyAlignment="1">
      <alignment horizontal="center" vertical="center" wrapText="1"/>
    </xf>
    <xf numFmtId="49" fontId="9" fillId="0" borderId="48" xfId="0" applyNumberFormat="1" applyFont="1" applyBorder="1" applyAlignment="1">
      <alignment horizontal="right" vertical="center"/>
    </xf>
    <xf numFmtId="49" fontId="9" fillId="0" borderId="55" xfId="0" applyNumberFormat="1" applyFont="1" applyBorder="1" applyAlignment="1">
      <alignment horizontal="right" vertical="center"/>
    </xf>
    <xf numFmtId="3" fontId="83" fillId="0" borderId="0" xfId="0" applyNumberFormat="1" applyFont="1" applyBorder="1" applyAlignment="1" quotePrefix="1">
      <alignment horizontal="center" vertical="center"/>
    </xf>
    <xf numFmtId="3" fontId="7" fillId="33" borderId="0" xfId="0" applyNumberFormat="1" applyFont="1" applyFill="1" applyBorder="1" applyAlignment="1">
      <alignment horizontal="left" wrapText="1"/>
    </xf>
    <xf numFmtId="3" fontId="24" fillId="33" borderId="0" xfId="0" applyNumberFormat="1" applyFont="1" applyFill="1" applyBorder="1" applyAlignment="1">
      <alignment horizontal="left" wrapText="1"/>
    </xf>
    <xf numFmtId="3" fontId="84" fillId="0" borderId="10" xfId="0" applyNumberFormat="1" applyFont="1" applyBorder="1" applyAlignment="1" quotePrefix="1">
      <alignment horizontal="left" vertical="center" wrapText="1"/>
    </xf>
    <xf numFmtId="0" fontId="13" fillId="0" borderId="48" xfId="0" applyNumberFormat="1" applyFont="1" applyBorder="1" applyAlignment="1" quotePrefix="1">
      <alignment horizontal="center" vertical="center" wrapText="1"/>
    </xf>
    <xf numFmtId="0" fontId="13" fillId="0" borderId="31" xfId="0" applyNumberFormat="1" applyFont="1" applyBorder="1" applyAlignment="1" quotePrefix="1">
      <alignment horizontal="center" vertical="center" wrapText="1"/>
    </xf>
    <xf numFmtId="49" fontId="9" fillId="32" borderId="48" xfId="0" applyNumberFormat="1" applyFont="1" applyFill="1" applyBorder="1" applyAlignment="1" quotePrefix="1">
      <alignment horizontal="left" vertical="center" wrapText="1"/>
    </xf>
    <xf numFmtId="49" fontId="9" fillId="32" borderId="31" xfId="0" applyNumberFormat="1" applyFont="1" applyFill="1" applyBorder="1" applyAlignment="1" quotePrefix="1">
      <alignment horizontal="left" vertical="center" wrapText="1"/>
    </xf>
    <xf numFmtId="3" fontId="9" fillId="32" borderId="48" xfId="0" applyNumberFormat="1" applyFont="1" applyFill="1" applyBorder="1" applyAlignment="1" quotePrefix="1">
      <alignment horizontal="center" vertical="center"/>
    </xf>
    <xf numFmtId="3" fontId="9" fillId="32" borderId="31" xfId="0" applyNumberFormat="1" applyFont="1" applyFill="1" applyBorder="1" applyAlignment="1" quotePrefix="1">
      <alignment horizontal="center" vertical="center"/>
    </xf>
    <xf numFmtId="3" fontId="5" fillId="32" borderId="48" xfId="0" applyNumberFormat="1" applyFont="1" applyFill="1" applyBorder="1" applyAlignment="1" quotePrefix="1">
      <alignment horizontal="center" vertical="center"/>
    </xf>
    <xf numFmtId="3" fontId="5" fillId="32" borderId="31" xfId="0" applyNumberFormat="1" applyFont="1" applyFill="1" applyBorder="1" applyAlignment="1" quotePrefix="1">
      <alignment horizontal="center" vertical="center"/>
    </xf>
    <xf numFmtId="3" fontId="85" fillId="0" borderId="10" xfId="0" applyNumberFormat="1" applyFont="1" applyBorder="1" applyAlignment="1" quotePrefix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3" fontId="77" fillId="0" borderId="10" xfId="0" applyNumberFormat="1" applyFont="1" applyBorder="1" applyAlignment="1" quotePrefix="1">
      <alignment horizontal="left" vertical="center" wrapText="1"/>
    </xf>
    <xf numFmtId="3" fontId="85" fillId="0" borderId="48" xfId="0" applyNumberFormat="1" applyFont="1" applyBorder="1" applyAlignment="1" quotePrefix="1">
      <alignment horizontal="left" vertical="center" wrapText="1"/>
    </xf>
    <xf numFmtId="3" fontId="85" fillId="0" borderId="31" xfId="0" applyNumberFormat="1" applyFont="1" applyBorder="1" applyAlignment="1" quotePrefix="1">
      <alignment horizontal="left" vertical="center" wrapText="1"/>
    </xf>
    <xf numFmtId="3" fontId="77" fillId="0" borderId="48" xfId="0" applyNumberFormat="1" applyFont="1" applyBorder="1" applyAlignment="1" quotePrefix="1">
      <alignment horizontal="left" vertical="center" wrapText="1"/>
    </xf>
    <xf numFmtId="3" fontId="77" fillId="0" borderId="31" xfId="0" applyNumberFormat="1" applyFont="1" applyBorder="1" applyAlignment="1" quotePrefix="1">
      <alignment horizontal="left" vertical="center" wrapText="1"/>
    </xf>
    <xf numFmtId="0" fontId="7" fillId="0" borderId="27" xfId="51" applyNumberFormat="1" applyFont="1" applyBorder="1" applyAlignment="1" quotePrefix="1">
      <alignment horizontal="center" vertical="center" wrapText="1"/>
      <protection/>
    </xf>
    <xf numFmtId="0" fontId="7" fillId="0" borderId="54" xfId="51" applyNumberFormat="1" applyFont="1" applyBorder="1" applyAlignment="1" quotePrefix="1">
      <alignment horizontal="center" vertical="center" wrapText="1"/>
      <protection/>
    </xf>
    <xf numFmtId="0" fontId="7" fillId="0" borderId="27" xfId="51" applyNumberFormat="1" applyFont="1" applyBorder="1" applyAlignment="1">
      <alignment horizontal="center" vertical="center" wrapText="1"/>
      <protection/>
    </xf>
    <xf numFmtId="0" fontId="7" fillId="0" borderId="54" xfId="51" applyNumberFormat="1" applyFont="1" applyBorder="1" applyAlignment="1">
      <alignment horizontal="center" vertical="center" wrapText="1"/>
      <protection/>
    </xf>
    <xf numFmtId="3" fontId="85" fillId="0" borderId="10" xfId="0" applyNumberFormat="1" applyFont="1" applyBorder="1" applyAlignment="1" quotePrefix="1">
      <alignment horizontal="left" vertical="center" wrapText="1"/>
    </xf>
    <xf numFmtId="0" fontId="13" fillId="0" borderId="48" xfId="51" applyNumberFormat="1" applyFont="1" applyBorder="1" applyAlignment="1" quotePrefix="1">
      <alignment horizontal="center" vertical="center" wrapText="1"/>
      <protection/>
    </xf>
    <xf numFmtId="0" fontId="13" fillId="0" borderId="31" xfId="51" applyNumberFormat="1" applyFont="1" applyBorder="1" applyAlignment="1" quotePrefix="1">
      <alignment horizontal="center" vertical="center" wrapText="1"/>
      <protection/>
    </xf>
    <xf numFmtId="3" fontId="83" fillId="0" borderId="0" xfId="0" applyNumberFormat="1" applyFont="1" applyAlignment="1">
      <alignment horizontal="center"/>
    </xf>
    <xf numFmtId="3" fontId="84" fillId="0" borderId="48" xfId="0" applyNumberFormat="1" applyFont="1" applyBorder="1" applyAlignment="1" quotePrefix="1">
      <alignment horizontal="left" vertical="center"/>
    </xf>
    <xf numFmtId="3" fontId="84" fillId="0" borderId="31" xfId="0" applyNumberFormat="1" applyFont="1" applyBorder="1" applyAlignment="1" quotePrefix="1">
      <alignment horizontal="left" vertical="center"/>
    </xf>
    <xf numFmtId="3" fontId="7" fillId="0" borderId="27" xfId="51" applyNumberFormat="1" applyFont="1" applyBorder="1" applyAlignment="1" quotePrefix="1">
      <alignment horizontal="center" vertical="center" wrapText="1"/>
      <protection/>
    </xf>
    <xf numFmtId="3" fontId="7" fillId="0" borderId="54" xfId="51" applyNumberFormat="1" applyFont="1" applyBorder="1" applyAlignment="1" quotePrefix="1">
      <alignment horizontal="center" vertical="center" wrapText="1"/>
      <protection/>
    </xf>
    <xf numFmtId="0" fontId="23" fillId="0" borderId="10" xfId="0" applyFont="1" applyBorder="1" applyAlignment="1">
      <alignment horizontal="left" vertical="center" wrapText="1"/>
    </xf>
    <xf numFmtId="3" fontId="84" fillId="0" borderId="10" xfId="0" applyNumberFormat="1" applyFont="1" applyBorder="1" applyAlignment="1" quotePrefix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3" fontId="83" fillId="0" borderId="0" xfId="0" applyNumberFormat="1" applyFont="1" applyAlignment="1">
      <alignment horizontal="center" vertical="center"/>
    </xf>
    <xf numFmtId="49" fontId="9" fillId="32" borderId="48" xfId="0" applyNumberFormat="1" applyFont="1" applyFill="1" applyBorder="1" applyAlignment="1" quotePrefix="1">
      <alignment horizontal="center" vertical="center" wrapText="1"/>
    </xf>
    <xf numFmtId="49" fontId="9" fillId="32" borderId="31" xfId="0" applyNumberFormat="1" applyFont="1" applyFill="1" applyBorder="1" applyAlignment="1" quotePrefix="1">
      <alignment horizontal="center" vertical="center" wrapText="1"/>
    </xf>
    <xf numFmtId="3" fontId="5" fillId="32" borderId="48" xfId="0" applyNumberFormat="1" applyFont="1" applyFill="1" applyBorder="1" applyAlignment="1" quotePrefix="1">
      <alignment horizontal="center"/>
    </xf>
    <xf numFmtId="3" fontId="5" fillId="32" borderId="31" xfId="0" applyNumberFormat="1" applyFont="1" applyFill="1" applyBorder="1" applyAlignment="1" quotePrefix="1">
      <alignment horizontal="center"/>
    </xf>
    <xf numFmtId="3" fontId="6" fillId="38" borderId="0" xfId="0" applyNumberFormat="1" applyFont="1" applyFill="1" applyAlignment="1">
      <alignment horizontal="center"/>
    </xf>
    <xf numFmtId="49" fontId="9" fillId="32" borderId="48" xfId="0" applyNumberFormat="1" applyFont="1" applyFill="1" applyBorder="1" applyAlignment="1" quotePrefix="1">
      <alignment horizontal="left" vertical="center"/>
    </xf>
    <xf numFmtId="49" fontId="9" fillId="32" borderId="31" xfId="0" applyNumberFormat="1" applyFont="1" applyFill="1" applyBorder="1" applyAlignment="1" quotePrefix="1">
      <alignment horizontal="left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32" borderId="10" xfId="0" applyNumberFormat="1" applyFont="1" applyFill="1" applyBorder="1" applyAlignment="1" quotePrefix="1">
      <alignment horizontal="center" vertical="center"/>
    </xf>
    <xf numFmtId="3" fontId="6" fillId="35" borderId="0" xfId="0" applyNumberFormat="1" applyFont="1" applyFill="1" applyAlignment="1">
      <alignment horizontal="center" vertical="center"/>
    </xf>
    <xf numFmtId="49" fontId="9" fillId="32" borderId="10" xfId="0" applyNumberFormat="1" applyFont="1" applyFill="1" applyBorder="1" applyAlignment="1" quotePrefix="1">
      <alignment horizontal="left" vertical="center"/>
    </xf>
    <xf numFmtId="3" fontId="9" fillId="0" borderId="48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5" fillId="32" borderId="10" xfId="0" applyNumberFormat="1" applyFont="1" applyFill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6">
      <selection activeCell="A3" sqref="A3:J3"/>
    </sheetView>
  </sheetViews>
  <sheetFormatPr defaultColWidth="9.140625" defaultRowHeight="12.75"/>
  <cols>
    <col min="6" max="10" width="25.7109375" style="0" customWidth="1"/>
  </cols>
  <sheetData>
    <row r="1" spans="1:10" ht="42" customHeight="1">
      <c r="A1" s="414" t="s">
        <v>276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8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</row>
    <row r="3" spans="1:10" ht="15.75">
      <c r="A3" s="414" t="s">
        <v>259</v>
      </c>
      <c r="B3" s="414"/>
      <c r="C3" s="414"/>
      <c r="D3" s="414"/>
      <c r="E3" s="414"/>
      <c r="F3" s="414"/>
      <c r="G3" s="414"/>
      <c r="H3" s="414"/>
      <c r="I3" s="433"/>
      <c r="J3" s="433"/>
    </row>
    <row r="4" spans="1:10" ht="18">
      <c r="A4" s="371"/>
      <c r="B4" s="371"/>
      <c r="C4" s="371"/>
      <c r="D4" s="371"/>
      <c r="E4" s="371"/>
      <c r="F4" s="371"/>
      <c r="G4" s="371"/>
      <c r="H4" s="371"/>
      <c r="I4" s="372"/>
      <c r="J4" s="372"/>
    </row>
    <row r="5" spans="1:10" ht="18" customHeight="1">
      <c r="A5" s="414" t="s">
        <v>260</v>
      </c>
      <c r="B5" s="415"/>
      <c r="C5" s="415"/>
      <c r="D5" s="415"/>
      <c r="E5" s="415"/>
      <c r="F5" s="415"/>
      <c r="G5" s="415"/>
      <c r="H5" s="415"/>
      <c r="I5" s="415"/>
      <c r="J5" s="415"/>
    </row>
    <row r="6" spans="1:10" ht="18">
      <c r="A6" s="373"/>
      <c r="B6" s="374"/>
      <c r="C6" s="374"/>
      <c r="D6" s="374"/>
      <c r="E6" s="375"/>
      <c r="F6" s="376"/>
      <c r="G6" s="376"/>
      <c r="H6" s="376"/>
      <c r="I6" s="376"/>
      <c r="J6" s="377"/>
    </row>
    <row r="7" spans="1:10" ht="25.5" customHeight="1">
      <c r="A7" s="406"/>
      <c r="B7" s="407"/>
      <c r="C7" s="407"/>
      <c r="D7" s="407"/>
      <c r="E7" s="408"/>
      <c r="F7" s="382" t="s">
        <v>133</v>
      </c>
      <c r="G7" s="396" t="s">
        <v>226</v>
      </c>
      <c r="H7" s="396" t="s">
        <v>241</v>
      </c>
      <c r="I7" s="398" t="s">
        <v>50</v>
      </c>
      <c r="J7" s="399" t="s">
        <v>50</v>
      </c>
    </row>
    <row r="8" spans="1:11" ht="12.75" customHeight="1">
      <c r="A8" s="409"/>
      <c r="B8" s="410"/>
      <c r="C8" s="410"/>
      <c r="D8" s="410"/>
      <c r="E8" s="411"/>
      <c r="F8" s="58">
        <v>2</v>
      </c>
      <c r="G8" s="400">
        <v>4</v>
      </c>
      <c r="H8" s="59">
        <v>5</v>
      </c>
      <c r="I8" s="59" t="s">
        <v>51</v>
      </c>
      <c r="J8" s="59" t="s">
        <v>52</v>
      </c>
      <c r="K8" s="402"/>
    </row>
    <row r="9" spans="1:10" ht="12.75" customHeight="1">
      <c r="A9" s="434" t="s">
        <v>261</v>
      </c>
      <c r="B9" s="429"/>
      <c r="C9" s="429"/>
      <c r="D9" s="429"/>
      <c r="E9" s="435"/>
      <c r="F9" s="397">
        <f>F10</f>
        <v>8129803</v>
      </c>
      <c r="G9" s="397">
        <f>G10+G11</f>
        <v>8497805</v>
      </c>
      <c r="H9" s="397">
        <f>H10+H11</f>
        <v>8610680</v>
      </c>
      <c r="I9" s="401">
        <f>H9/F9*100</f>
        <v>105.91498957600818</v>
      </c>
      <c r="J9" s="401">
        <f aca="true" t="shared" si="0" ref="J9:J15">H9/G9*100</f>
        <v>101.3282841863281</v>
      </c>
    </row>
    <row r="10" spans="1:10" ht="15">
      <c r="A10" s="436" t="s">
        <v>262</v>
      </c>
      <c r="B10" s="425"/>
      <c r="C10" s="425"/>
      <c r="D10" s="425"/>
      <c r="E10" s="427"/>
      <c r="F10" s="384">
        <v>8129803</v>
      </c>
      <c r="G10" s="384">
        <v>8497805</v>
      </c>
      <c r="H10" s="384">
        <v>8610680</v>
      </c>
      <c r="I10" s="194">
        <f aca="true" t="shared" si="1" ref="I10:I15">H10/F10*100</f>
        <v>105.91498957600818</v>
      </c>
      <c r="J10" s="401">
        <f t="shared" si="0"/>
        <v>101.3282841863281</v>
      </c>
    </row>
    <row r="11" spans="1:10" ht="15">
      <c r="A11" s="437" t="s">
        <v>263</v>
      </c>
      <c r="B11" s="427"/>
      <c r="C11" s="427"/>
      <c r="D11" s="427"/>
      <c r="E11" s="427"/>
      <c r="F11" s="384">
        <v>0</v>
      </c>
      <c r="G11" s="384">
        <v>0</v>
      </c>
      <c r="H11" s="384">
        <v>0</v>
      </c>
      <c r="I11" s="194" t="e">
        <f t="shared" si="1"/>
        <v>#DIV/0!</v>
      </c>
      <c r="J11" s="401" t="e">
        <f t="shared" si="0"/>
        <v>#DIV/0!</v>
      </c>
    </row>
    <row r="12" spans="1:10" ht="15">
      <c r="A12" s="403" t="s">
        <v>264</v>
      </c>
      <c r="B12" s="404"/>
      <c r="C12" s="404"/>
      <c r="D12" s="404"/>
      <c r="E12" s="405"/>
      <c r="F12" s="397">
        <f>F13+F14</f>
        <v>8050498</v>
      </c>
      <c r="G12" s="397">
        <f>G13+G14</f>
        <v>8497805</v>
      </c>
      <c r="H12" s="397">
        <f>H13+H14</f>
        <v>8640871</v>
      </c>
      <c r="I12" s="401">
        <f t="shared" si="1"/>
        <v>107.33337241994224</v>
      </c>
      <c r="J12" s="401">
        <f t="shared" si="0"/>
        <v>101.68356416745266</v>
      </c>
    </row>
    <row r="13" spans="1:10" ht="15">
      <c r="A13" s="424" t="s">
        <v>265</v>
      </c>
      <c r="B13" s="425"/>
      <c r="C13" s="425"/>
      <c r="D13" s="425"/>
      <c r="E13" s="425"/>
      <c r="F13" s="384">
        <v>7846258</v>
      </c>
      <c r="G13" s="384">
        <v>8241605</v>
      </c>
      <c r="H13" s="384">
        <v>8380943</v>
      </c>
      <c r="I13" s="194">
        <f t="shared" si="1"/>
        <v>106.81452228565516</v>
      </c>
      <c r="J13" s="401">
        <f t="shared" si="0"/>
        <v>101.69066583511344</v>
      </c>
    </row>
    <row r="14" spans="1:10" ht="15">
      <c r="A14" s="426" t="s">
        <v>266</v>
      </c>
      <c r="B14" s="427"/>
      <c r="C14" s="427"/>
      <c r="D14" s="427"/>
      <c r="E14" s="427"/>
      <c r="F14" s="385">
        <v>204240</v>
      </c>
      <c r="G14" s="385">
        <v>256200</v>
      </c>
      <c r="H14" s="385">
        <v>259928</v>
      </c>
      <c r="I14" s="194">
        <f t="shared" si="1"/>
        <v>127.2659616137877</v>
      </c>
      <c r="J14" s="401">
        <f t="shared" si="0"/>
        <v>101.4551131928181</v>
      </c>
    </row>
    <row r="15" spans="1:10" ht="15">
      <c r="A15" s="428" t="s">
        <v>267</v>
      </c>
      <c r="B15" s="429"/>
      <c r="C15" s="429"/>
      <c r="D15" s="429"/>
      <c r="E15" s="429"/>
      <c r="F15" s="397">
        <f>F9-F12</f>
        <v>79305</v>
      </c>
      <c r="G15" s="397">
        <f>G9-G12</f>
        <v>0</v>
      </c>
      <c r="H15" s="397">
        <f>H9-H12</f>
        <v>-30191</v>
      </c>
      <c r="I15" s="401">
        <f t="shared" si="1"/>
        <v>-38.069478595296644</v>
      </c>
      <c r="J15" s="401" t="e">
        <f t="shared" si="0"/>
        <v>#DIV/0!</v>
      </c>
    </row>
    <row r="16" spans="1:10" ht="18">
      <c r="A16" s="371"/>
      <c r="B16" s="387"/>
      <c r="C16" s="387"/>
      <c r="D16" s="387"/>
      <c r="E16" s="387"/>
      <c r="F16" s="387"/>
      <c r="G16" s="387"/>
      <c r="H16" s="388"/>
      <c r="I16" s="388"/>
      <c r="J16" s="388"/>
    </row>
    <row r="17" spans="1:10" ht="18" customHeight="1">
      <c r="A17" s="414" t="s">
        <v>268</v>
      </c>
      <c r="B17" s="415"/>
      <c r="C17" s="415"/>
      <c r="D17" s="415"/>
      <c r="E17" s="415"/>
      <c r="F17" s="415"/>
      <c r="G17" s="415"/>
      <c r="H17" s="415"/>
      <c r="I17" s="415"/>
      <c r="J17" s="415"/>
    </row>
    <row r="18" spans="1:10" ht="18">
      <c r="A18" s="371"/>
      <c r="B18" s="387"/>
      <c r="C18" s="387"/>
      <c r="D18" s="387"/>
      <c r="E18" s="387"/>
      <c r="F18" s="387"/>
      <c r="G18" s="387"/>
      <c r="H18" s="388"/>
      <c r="I18" s="388"/>
      <c r="J18" s="388"/>
    </row>
    <row r="19" spans="1:10" ht="25.5">
      <c r="A19" s="378"/>
      <c r="B19" s="379"/>
      <c r="C19" s="379"/>
      <c r="D19" s="380"/>
      <c r="E19" s="381"/>
      <c r="F19" s="382" t="s">
        <v>133</v>
      </c>
      <c r="G19" s="396" t="s">
        <v>226</v>
      </c>
      <c r="H19" s="396" t="s">
        <v>241</v>
      </c>
      <c r="I19" s="398" t="s">
        <v>50</v>
      </c>
      <c r="J19" s="399" t="s">
        <v>50</v>
      </c>
    </row>
    <row r="20" spans="1:10" ht="12.75">
      <c r="A20" s="378"/>
      <c r="B20" s="379"/>
      <c r="C20" s="379"/>
      <c r="D20" s="380"/>
      <c r="E20" s="381"/>
      <c r="F20" s="58">
        <v>2</v>
      </c>
      <c r="G20" s="400">
        <v>4</v>
      </c>
      <c r="H20" s="59">
        <v>5</v>
      </c>
      <c r="I20" s="59" t="s">
        <v>51</v>
      </c>
      <c r="J20" s="59" t="s">
        <v>52</v>
      </c>
    </row>
    <row r="21" spans="1:10" ht="29.25" customHeight="1">
      <c r="A21" s="430" t="s">
        <v>269</v>
      </c>
      <c r="B21" s="431"/>
      <c r="C21" s="431"/>
      <c r="D21" s="431"/>
      <c r="E21" s="432"/>
      <c r="F21" s="385">
        <v>0</v>
      </c>
      <c r="G21" s="385">
        <v>0</v>
      </c>
      <c r="H21" s="385">
        <v>0</v>
      </c>
      <c r="I21" s="385">
        <v>0</v>
      </c>
      <c r="J21" s="385">
        <v>0</v>
      </c>
    </row>
    <row r="22" spans="1:10" ht="12.75">
      <c r="A22" s="430" t="s">
        <v>270</v>
      </c>
      <c r="B22" s="423"/>
      <c r="C22" s="423"/>
      <c r="D22" s="423"/>
      <c r="E22" s="423"/>
      <c r="F22" s="385"/>
      <c r="G22" s="385"/>
      <c r="H22" s="385"/>
      <c r="I22" s="385"/>
      <c r="J22" s="385">
        <v>0</v>
      </c>
    </row>
    <row r="23" spans="1:10" ht="12.75">
      <c r="A23" s="412" t="s">
        <v>271</v>
      </c>
      <c r="B23" s="413"/>
      <c r="C23" s="413"/>
      <c r="D23" s="413"/>
      <c r="E23" s="413"/>
      <c r="F23" s="383">
        <v>0</v>
      </c>
      <c r="G23" s="383">
        <v>0</v>
      </c>
      <c r="H23" s="383">
        <v>0</v>
      </c>
      <c r="I23" s="383">
        <v>0</v>
      </c>
      <c r="J23" s="383">
        <v>0</v>
      </c>
    </row>
    <row r="24" spans="1:10" ht="18">
      <c r="A24" s="389"/>
      <c r="B24" s="387"/>
      <c r="C24" s="387"/>
      <c r="D24" s="387"/>
      <c r="E24" s="387"/>
      <c r="F24" s="387"/>
      <c r="G24" s="387"/>
      <c r="H24" s="388"/>
      <c r="I24" s="388"/>
      <c r="J24" s="388"/>
    </row>
    <row r="25" spans="1:10" ht="18" customHeight="1">
      <c r="A25" s="414" t="s">
        <v>272</v>
      </c>
      <c r="B25" s="415"/>
      <c r="C25" s="415"/>
      <c r="D25" s="415"/>
      <c r="E25" s="415"/>
      <c r="F25" s="415"/>
      <c r="G25" s="415"/>
      <c r="H25" s="415"/>
      <c r="I25" s="415"/>
      <c r="J25" s="415"/>
    </row>
    <row r="26" spans="1:10" ht="18">
      <c r="A26" s="389"/>
      <c r="B26" s="387"/>
      <c r="C26" s="387"/>
      <c r="D26" s="387"/>
      <c r="E26" s="387"/>
      <c r="F26" s="387"/>
      <c r="G26" s="387"/>
      <c r="H26" s="388"/>
      <c r="I26" s="388"/>
      <c r="J26" s="388"/>
    </row>
    <row r="27" spans="1:10" ht="25.5">
      <c r="A27" s="406"/>
      <c r="B27" s="407"/>
      <c r="C27" s="407"/>
      <c r="D27" s="407"/>
      <c r="E27" s="408"/>
      <c r="F27" s="382" t="s">
        <v>133</v>
      </c>
      <c r="G27" s="396" t="s">
        <v>226</v>
      </c>
      <c r="H27" s="396" t="s">
        <v>241</v>
      </c>
      <c r="I27" s="398" t="s">
        <v>50</v>
      </c>
      <c r="J27" s="399" t="s">
        <v>50</v>
      </c>
    </row>
    <row r="28" spans="1:10" ht="12.75">
      <c r="A28" s="409"/>
      <c r="B28" s="410"/>
      <c r="C28" s="410"/>
      <c r="D28" s="410"/>
      <c r="E28" s="411"/>
      <c r="F28" s="58">
        <v>2</v>
      </c>
      <c r="G28" s="400">
        <v>4</v>
      </c>
      <c r="H28" s="59">
        <v>5</v>
      </c>
      <c r="I28" s="59" t="s">
        <v>51</v>
      </c>
      <c r="J28" s="59" t="s">
        <v>52</v>
      </c>
    </row>
    <row r="29" spans="1:10" ht="12.75">
      <c r="A29" s="416" t="s">
        <v>273</v>
      </c>
      <c r="B29" s="417"/>
      <c r="C29" s="417"/>
      <c r="D29" s="417"/>
      <c r="E29" s="418"/>
      <c r="F29" s="390"/>
      <c r="G29" s="390"/>
      <c r="H29" s="390"/>
      <c r="I29" s="390"/>
      <c r="J29" s="391"/>
    </row>
    <row r="30" spans="1:10" ht="30" customHeight="1">
      <c r="A30" s="419" t="s">
        <v>274</v>
      </c>
      <c r="B30" s="420"/>
      <c r="C30" s="420"/>
      <c r="D30" s="420"/>
      <c r="E30" s="421"/>
      <c r="F30" s="392">
        <v>-73034.67</v>
      </c>
      <c r="G30" s="392"/>
      <c r="H30" s="392">
        <f>H15</f>
        <v>-30191</v>
      </c>
      <c r="I30" s="392"/>
      <c r="J30" s="386"/>
    </row>
    <row r="33" spans="1:10" ht="12.75">
      <c r="A33" s="422" t="s">
        <v>275</v>
      </c>
      <c r="B33" s="423"/>
      <c r="C33" s="423"/>
      <c r="D33" s="423"/>
      <c r="E33" s="423"/>
      <c r="F33" s="385">
        <f>F15+F30</f>
        <v>6270.330000000002</v>
      </c>
      <c r="G33" s="385"/>
      <c r="H33" s="385">
        <f>H30+F33</f>
        <v>-23920.67</v>
      </c>
      <c r="I33" s="385">
        <v>0</v>
      </c>
      <c r="J33" s="385">
        <v>0</v>
      </c>
    </row>
    <row r="34" spans="1:10" ht="11.25" customHeight="1">
      <c r="A34" s="393"/>
      <c r="B34" s="394"/>
      <c r="C34" s="394"/>
      <c r="D34" s="394"/>
      <c r="E34" s="394"/>
      <c r="F34" s="395"/>
      <c r="G34" s="395"/>
      <c r="H34" s="395"/>
      <c r="I34" s="395"/>
      <c r="J34" s="395"/>
    </row>
    <row r="35" ht="29.25" customHeight="1"/>
    <row r="36" ht="8.25" customHeight="1"/>
    <row r="38" ht="8.25" customHeight="1"/>
    <row r="39" ht="29.25" customHeight="1"/>
  </sheetData>
  <sheetProtection/>
  <mergeCells count="20">
    <mergeCell ref="A1:J1"/>
    <mergeCell ref="A3:J3"/>
    <mergeCell ref="A5:J5"/>
    <mergeCell ref="A9:E9"/>
    <mergeCell ref="A10:E10"/>
    <mergeCell ref="A11:E11"/>
    <mergeCell ref="A7:E8"/>
    <mergeCell ref="A33:E33"/>
    <mergeCell ref="A13:E13"/>
    <mergeCell ref="A14:E14"/>
    <mergeCell ref="A15:E15"/>
    <mergeCell ref="A17:J17"/>
    <mergeCell ref="A21:E21"/>
    <mergeCell ref="A22:E22"/>
    <mergeCell ref="A12:E12"/>
    <mergeCell ref="A27:E28"/>
    <mergeCell ref="A23:E23"/>
    <mergeCell ref="A25:J25"/>
    <mergeCell ref="A29:E29"/>
    <mergeCell ref="A30:E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PageLayoutView="0" workbookViewId="0" topLeftCell="A19">
      <selection activeCell="H37" sqref="H36:H37"/>
    </sheetView>
  </sheetViews>
  <sheetFormatPr defaultColWidth="9.140625" defaultRowHeight="12.75"/>
  <cols>
    <col min="1" max="1" width="11.57421875" style="2" customWidth="1"/>
    <col min="2" max="2" width="46.28125" style="2" customWidth="1"/>
    <col min="3" max="3" width="17.7109375" style="2" customWidth="1"/>
    <col min="4" max="4" width="0.2890625" style="10" customWidth="1"/>
    <col min="5" max="7" width="17.7109375" style="10" customWidth="1"/>
    <col min="8" max="8" width="15.140625" style="2" customWidth="1"/>
    <col min="9" max="9" width="13.8515625" style="0" customWidth="1"/>
    <col min="10" max="12" width="15.140625" style="0" customWidth="1"/>
    <col min="13" max="15" width="15.140625" style="2" customWidth="1"/>
    <col min="16" max="16" width="16.7109375" style="2" hidden="1" customWidth="1"/>
    <col min="17" max="17" width="16.421875" style="2" hidden="1" customWidth="1"/>
    <col min="18" max="18" width="12.57421875" style="2" hidden="1" customWidth="1"/>
    <col min="19" max="19" width="15.140625" style="2" customWidth="1"/>
    <col min="20" max="16384" width="9.140625" style="2" customWidth="1"/>
  </cols>
  <sheetData>
    <row r="1" spans="1:8" ht="20.25">
      <c r="A1" s="453" t="s">
        <v>239</v>
      </c>
      <c r="B1" s="453"/>
      <c r="C1" s="453"/>
      <c r="D1" s="453"/>
      <c r="E1" s="453"/>
      <c r="F1" s="453"/>
      <c r="G1" s="453"/>
      <c r="H1" s="1"/>
    </row>
    <row r="2" spans="1:8" ht="20.25">
      <c r="A2" s="453" t="s">
        <v>240</v>
      </c>
      <c r="B2" s="453"/>
      <c r="C2" s="453"/>
      <c r="D2" s="453"/>
      <c r="E2" s="453"/>
      <c r="F2" s="453"/>
      <c r="G2" s="453"/>
      <c r="H2" s="1"/>
    </row>
    <row r="3" spans="1:8" ht="20.25">
      <c r="A3" s="440" t="s">
        <v>90</v>
      </c>
      <c r="B3" s="440"/>
      <c r="C3" s="440"/>
      <c r="D3" s="440"/>
      <c r="E3" s="440"/>
      <c r="F3" s="440"/>
      <c r="G3" s="440"/>
      <c r="H3" s="440"/>
    </row>
    <row r="5" spans="1:7" ht="20.25">
      <c r="A5" s="451" t="s">
        <v>25</v>
      </c>
      <c r="B5" s="451"/>
      <c r="C5" s="451"/>
      <c r="D5" s="451"/>
      <c r="E5" s="451"/>
      <c r="F5" s="451"/>
      <c r="G5" s="451"/>
    </row>
    <row r="6" spans="1:12" s="4" customFormat="1" ht="15">
      <c r="A6" s="3"/>
      <c r="D6" s="5"/>
      <c r="E6" s="5"/>
      <c r="F6" s="5"/>
      <c r="G6" s="5"/>
      <c r="I6"/>
      <c r="J6"/>
      <c r="K6"/>
      <c r="L6"/>
    </row>
    <row r="7" spans="1:8" ht="15.75" customHeight="1">
      <c r="A7" s="444" t="s">
        <v>26</v>
      </c>
      <c r="B7" s="446" t="s">
        <v>0</v>
      </c>
      <c r="C7" s="446" t="s">
        <v>133</v>
      </c>
      <c r="D7"/>
      <c r="E7" s="441" t="s">
        <v>226</v>
      </c>
      <c r="F7" s="441" t="s">
        <v>241</v>
      </c>
      <c r="G7" s="441" t="s">
        <v>50</v>
      </c>
      <c r="H7" s="441" t="s">
        <v>50</v>
      </c>
    </row>
    <row r="8" spans="1:8" ht="31.5" customHeight="1">
      <c r="A8" s="445"/>
      <c r="B8" s="447"/>
      <c r="C8" s="447"/>
      <c r="D8"/>
      <c r="E8" s="442"/>
      <c r="F8" s="442"/>
      <c r="G8" s="442"/>
      <c r="H8" s="442"/>
    </row>
    <row r="9" spans="1:12" s="60" customFormat="1" ht="12.75">
      <c r="A9" s="450">
        <v>1</v>
      </c>
      <c r="B9" s="450"/>
      <c r="C9" s="58">
        <v>2</v>
      </c>
      <c r="D9"/>
      <c r="E9" s="59">
        <v>4</v>
      </c>
      <c r="F9" s="59">
        <v>5</v>
      </c>
      <c r="G9" s="59" t="s">
        <v>51</v>
      </c>
      <c r="H9" s="59" t="s">
        <v>52</v>
      </c>
      <c r="I9"/>
      <c r="J9"/>
      <c r="K9"/>
      <c r="L9"/>
    </row>
    <row r="10" spans="1:8" ht="30">
      <c r="A10" s="124">
        <v>67</v>
      </c>
      <c r="B10" s="125" t="s">
        <v>29</v>
      </c>
      <c r="C10" s="108">
        <f>SUM(C11:C12)</f>
        <v>1171367.2</v>
      </c>
      <c r="D10" s="269"/>
      <c r="E10" s="108">
        <f>SUM(E11:E12)</f>
        <v>1143290</v>
      </c>
      <c r="F10" s="282">
        <f>SUM(F11:F12)</f>
        <v>1134827.97</v>
      </c>
      <c r="G10" s="108">
        <f>F10/C10*100</f>
        <v>96.8806340146796</v>
      </c>
      <c r="H10" s="128">
        <f>F10/E10*100</f>
        <v>99.25985270578768</v>
      </c>
    </row>
    <row r="11" spans="1:8" ht="30">
      <c r="A11" s="105">
        <v>6711</v>
      </c>
      <c r="B11" s="17" t="s">
        <v>30</v>
      </c>
      <c r="C11" s="18">
        <v>1077049.53</v>
      </c>
      <c r="D11" s="270"/>
      <c r="E11" s="66">
        <v>1111790</v>
      </c>
      <c r="F11" s="283">
        <v>1049455.02</v>
      </c>
      <c r="G11" s="25">
        <f>F11/C11*100</f>
        <v>97.43795348018953</v>
      </c>
      <c r="H11" s="233">
        <f>F11/E11*100</f>
        <v>94.39327750744295</v>
      </c>
    </row>
    <row r="12" spans="1:8" ht="30">
      <c r="A12" s="105">
        <v>6712</v>
      </c>
      <c r="B12" s="17" t="s">
        <v>31</v>
      </c>
      <c r="C12" s="18">
        <v>94317.67</v>
      </c>
      <c r="D12" s="270"/>
      <c r="E12" s="18">
        <v>31500</v>
      </c>
      <c r="F12" s="96">
        <v>85372.95</v>
      </c>
      <c r="G12" s="25">
        <f>F12/C12*100</f>
        <v>90.51638998291625</v>
      </c>
      <c r="H12" s="233">
        <f aca="true" t="shared" si="0" ref="H12:H28">F12/E12*100</f>
        <v>271.0252380952381</v>
      </c>
    </row>
    <row r="13" spans="1:8" ht="30">
      <c r="A13" s="126">
        <v>66</v>
      </c>
      <c r="B13" s="127" t="s">
        <v>33</v>
      </c>
      <c r="C13" s="109">
        <f>SUM(C14:C15)</f>
        <v>3000</v>
      </c>
      <c r="D13" s="270"/>
      <c r="E13" s="109">
        <f>SUM(E14:E15)</f>
        <v>42000</v>
      </c>
      <c r="F13" s="284">
        <f>SUM(F14:F15)</f>
        <v>29925</v>
      </c>
      <c r="G13" s="109">
        <f aca="true" t="shared" si="1" ref="G13:G27">F13/C13*100</f>
        <v>997.5</v>
      </c>
      <c r="H13" s="256">
        <f t="shared" si="0"/>
        <v>71.25</v>
      </c>
    </row>
    <row r="14" spans="1:8" ht="30">
      <c r="A14" s="105">
        <v>66151</v>
      </c>
      <c r="B14" s="17" t="s">
        <v>32</v>
      </c>
      <c r="C14" s="18">
        <v>3000</v>
      </c>
      <c r="D14" s="270"/>
      <c r="E14" s="18">
        <v>42000</v>
      </c>
      <c r="F14" s="96">
        <v>29925</v>
      </c>
      <c r="G14" s="25">
        <f t="shared" si="1"/>
        <v>997.5</v>
      </c>
      <c r="H14" s="233">
        <f t="shared" si="0"/>
        <v>71.25</v>
      </c>
    </row>
    <row r="15" spans="1:8" ht="15">
      <c r="A15" s="105">
        <v>663</v>
      </c>
      <c r="B15" s="17" t="s">
        <v>92</v>
      </c>
      <c r="C15" s="66">
        <v>0</v>
      </c>
      <c r="D15" s="270"/>
      <c r="E15" s="18">
        <v>0</v>
      </c>
      <c r="F15" s="96">
        <v>0</v>
      </c>
      <c r="G15" s="25" t="e">
        <f>F15/C15*100</f>
        <v>#DIV/0!</v>
      </c>
      <c r="H15" s="233" t="e">
        <f t="shared" si="0"/>
        <v>#DIV/0!</v>
      </c>
    </row>
    <row r="16" spans="1:17" s="11" customFormat="1" ht="15">
      <c r="A16" s="115">
        <v>652</v>
      </c>
      <c r="B16" s="116" t="s">
        <v>34</v>
      </c>
      <c r="C16" s="113">
        <f>SUM(C17)</f>
        <v>91774.71</v>
      </c>
      <c r="D16" s="270"/>
      <c r="E16" s="113">
        <f>SUM(E17:E17)</f>
        <v>130000</v>
      </c>
      <c r="F16" s="227">
        <f>SUM(F17:F17)</f>
        <v>146026.02</v>
      </c>
      <c r="G16" s="113">
        <f t="shared" si="1"/>
        <v>159.11357279145855</v>
      </c>
      <c r="H16" s="232">
        <f t="shared" si="0"/>
        <v>112.32770769230768</v>
      </c>
      <c r="I16"/>
      <c r="J16"/>
      <c r="K16"/>
      <c r="L16"/>
      <c r="M16" s="55"/>
      <c r="N16" s="56"/>
      <c r="O16" s="56"/>
      <c r="P16" s="12"/>
      <c r="Q16" s="12"/>
    </row>
    <row r="17" spans="1:17" s="15" customFormat="1" ht="30">
      <c r="A17" s="105">
        <v>65269</v>
      </c>
      <c r="B17" s="17" t="s">
        <v>91</v>
      </c>
      <c r="C17" s="18">
        <v>91774.71</v>
      </c>
      <c r="D17" s="270"/>
      <c r="E17" s="18">
        <v>130000</v>
      </c>
      <c r="F17" s="96">
        <v>146026.02</v>
      </c>
      <c r="G17" s="25">
        <f t="shared" si="1"/>
        <v>159.11357279145855</v>
      </c>
      <c r="H17" s="233">
        <f t="shared" si="0"/>
        <v>112.32770769230768</v>
      </c>
      <c r="I17"/>
      <c r="J17"/>
      <c r="K17"/>
      <c r="L17"/>
      <c r="M17" s="13"/>
      <c r="N17" s="13"/>
      <c r="O17" s="8"/>
      <c r="P17" s="14"/>
      <c r="Q17" s="14"/>
    </row>
    <row r="18" spans="1:17" s="15" customFormat="1" ht="15">
      <c r="A18" s="160">
        <v>64</v>
      </c>
      <c r="B18" s="146" t="s">
        <v>118</v>
      </c>
      <c r="C18" s="161">
        <f>SUM(C19)</f>
        <v>9.79</v>
      </c>
      <c r="D18" s="270"/>
      <c r="E18" s="147">
        <f>SUM(E19)</f>
        <v>5</v>
      </c>
      <c r="F18" s="229">
        <f>SUM(F19)</f>
        <v>0.53</v>
      </c>
      <c r="G18" s="109">
        <f t="shared" si="1"/>
        <v>5.413687436159347</v>
      </c>
      <c r="H18" s="256">
        <f t="shared" si="0"/>
        <v>10.600000000000001</v>
      </c>
      <c r="I18"/>
      <c r="J18"/>
      <c r="K18"/>
      <c r="L18"/>
      <c r="M18" s="13"/>
      <c r="N18" s="13"/>
      <c r="O18" s="8"/>
      <c r="P18" s="14"/>
      <c r="Q18" s="14"/>
    </row>
    <row r="19" spans="1:17" s="15" customFormat="1" ht="30">
      <c r="A19" s="105">
        <v>6413</v>
      </c>
      <c r="B19" s="17" t="s">
        <v>119</v>
      </c>
      <c r="C19" s="18">
        <v>9.79</v>
      </c>
      <c r="D19" s="270"/>
      <c r="E19" s="18">
        <v>5</v>
      </c>
      <c r="F19" s="97">
        <v>0.53</v>
      </c>
      <c r="G19" s="25">
        <f t="shared" si="1"/>
        <v>5.413687436159347</v>
      </c>
      <c r="H19" s="233">
        <f t="shared" si="0"/>
        <v>10.600000000000001</v>
      </c>
      <c r="I19"/>
      <c r="J19"/>
      <c r="K19"/>
      <c r="L19"/>
      <c r="M19" s="13"/>
      <c r="N19" s="13"/>
      <c r="O19" s="8"/>
      <c r="P19" s="14"/>
      <c r="Q19" s="14"/>
    </row>
    <row r="20" spans="1:8" ht="30">
      <c r="A20" s="126">
        <v>63</v>
      </c>
      <c r="B20" s="127" t="s">
        <v>28</v>
      </c>
      <c r="C20" s="109">
        <f>SUM(C21:C23)</f>
        <v>6863651.74</v>
      </c>
      <c r="D20" s="270"/>
      <c r="E20" s="109">
        <f>SUM(E21:E23)</f>
        <v>7036510</v>
      </c>
      <c r="F20" s="284">
        <f>SUM(F21:F23)</f>
        <v>7299900.91</v>
      </c>
      <c r="G20" s="109">
        <f t="shared" si="1"/>
        <v>106.35593393320973</v>
      </c>
      <c r="H20" s="256">
        <f t="shared" si="0"/>
        <v>103.7432038041586</v>
      </c>
    </row>
    <row r="21" spans="1:8" ht="15.75" customHeight="1">
      <c r="A21" s="105">
        <v>634</v>
      </c>
      <c r="B21" s="17" t="s">
        <v>27</v>
      </c>
      <c r="C21" s="18">
        <v>2000</v>
      </c>
      <c r="D21" s="270"/>
      <c r="E21" s="199">
        <v>2000</v>
      </c>
      <c r="F21" s="96">
        <v>1985</v>
      </c>
      <c r="G21" s="25">
        <f t="shared" si="1"/>
        <v>99.25</v>
      </c>
      <c r="H21" s="233">
        <f t="shared" si="0"/>
        <v>99.25</v>
      </c>
    </row>
    <row r="22" spans="1:8" ht="30">
      <c r="A22" s="105">
        <v>636</v>
      </c>
      <c r="B22" s="17" t="s">
        <v>37</v>
      </c>
      <c r="C22" s="18">
        <v>6861651.74</v>
      </c>
      <c r="D22" s="270"/>
      <c r="E22" s="18">
        <v>6993560</v>
      </c>
      <c r="F22" s="96">
        <v>7297915.91</v>
      </c>
      <c r="G22" s="25">
        <f t="shared" si="1"/>
        <v>106.35800513536408</v>
      </c>
      <c r="H22" s="233">
        <f t="shared" si="0"/>
        <v>104.35194536116083</v>
      </c>
    </row>
    <row r="23" spans="1:8" ht="30">
      <c r="A23" s="105">
        <v>638</v>
      </c>
      <c r="B23" s="17" t="s">
        <v>93</v>
      </c>
      <c r="C23" s="18">
        <v>0</v>
      </c>
      <c r="D23" s="270"/>
      <c r="E23" s="18">
        <v>40950</v>
      </c>
      <c r="F23" s="96">
        <v>0</v>
      </c>
      <c r="G23" s="25" t="e">
        <f t="shared" si="1"/>
        <v>#DIV/0!</v>
      </c>
      <c r="H23" s="233">
        <f t="shared" si="0"/>
        <v>0</v>
      </c>
    </row>
    <row r="24" spans="1:12" s="36" customFormat="1" ht="19.5">
      <c r="A24" s="448" t="s">
        <v>87</v>
      </c>
      <c r="B24" s="449"/>
      <c r="C24" s="271">
        <f>SUM(C10,C13,C16,C20,C18,)</f>
        <v>8129803.44</v>
      </c>
      <c r="D24" s="270"/>
      <c r="E24" s="271">
        <f>SUM(E10,E13,E16,E20,E18,)</f>
        <v>8351805</v>
      </c>
      <c r="F24" s="271">
        <f>SUM(F10,F13,F16,F20,F18,)</f>
        <v>8610680.43</v>
      </c>
      <c r="G24" s="25">
        <f t="shared" si="1"/>
        <v>105.91498913287379</v>
      </c>
      <c r="H24" s="233">
        <f t="shared" si="0"/>
        <v>103.09963451014481</v>
      </c>
      <c r="I24"/>
      <c r="J24"/>
      <c r="K24"/>
      <c r="L24"/>
    </row>
    <row r="25" spans="1:8" ht="15">
      <c r="A25" s="160">
        <v>92</v>
      </c>
      <c r="B25" s="146" t="s">
        <v>125</v>
      </c>
      <c r="C25" s="161">
        <f>SUM(C27)*-1</f>
        <v>0</v>
      </c>
      <c r="D25" s="270"/>
      <c r="E25" s="161">
        <f>SUM(E26)</f>
        <v>146000</v>
      </c>
      <c r="F25" s="161">
        <f>SUM(F26)</f>
        <v>0</v>
      </c>
      <c r="G25" s="109" t="e">
        <f t="shared" si="1"/>
        <v>#DIV/0!</v>
      </c>
      <c r="H25" s="256">
        <f t="shared" si="0"/>
        <v>0</v>
      </c>
    </row>
    <row r="26" spans="1:8" ht="15">
      <c r="A26" s="105">
        <v>9221</v>
      </c>
      <c r="B26" s="17" t="s">
        <v>124</v>
      </c>
      <c r="C26" s="66">
        <v>0</v>
      </c>
      <c r="D26" s="270"/>
      <c r="E26" s="18">
        <v>146000</v>
      </c>
      <c r="F26" s="18">
        <v>0</v>
      </c>
      <c r="G26" s="25" t="e">
        <f t="shared" si="1"/>
        <v>#DIV/0!</v>
      </c>
      <c r="H26" s="233">
        <f t="shared" si="0"/>
        <v>0</v>
      </c>
    </row>
    <row r="27" spans="1:8" ht="15">
      <c r="A27" s="106">
        <v>9222</v>
      </c>
      <c r="B27" s="48" t="s">
        <v>137</v>
      </c>
      <c r="C27" s="67">
        <v>0</v>
      </c>
      <c r="D27" s="272"/>
      <c r="E27" s="49">
        <v>0</v>
      </c>
      <c r="F27" s="49">
        <v>0</v>
      </c>
      <c r="G27" s="25" t="e">
        <f t="shared" si="1"/>
        <v>#DIV/0!</v>
      </c>
      <c r="H27" s="233" t="e">
        <f t="shared" si="0"/>
        <v>#DIV/0!</v>
      </c>
    </row>
    <row r="28" spans="1:12" s="36" customFormat="1" ht="19.5">
      <c r="A28" s="452" t="s">
        <v>138</v>
      </c>
      <c r="B28" s="452"/>
      <c r="C28" s="81">
        <f>SUM(C10,C13,C16,C20,C18,C25)</f>
        <v>8129803.44</v>
      </c>
      <c r="D28"/>
      <c r="E28" s="81">
        <f>SUM(E10,E13,E16,E20,E18,E25)</f>
        <v>8497805</v>
      </c>
      <c r="F28" s="81">
        <f>SUM(F10,F13,F16,F20,F18,F25)</f>
        <v>8610680.43</v>
      </c>
      <c r="G28" s="6">
        <f>F28/C28*100</f>
        <v>105.91498913287379</v>
      </c>
      <c r="H28" s="233">
        <f t="shared" si="0"/>
        <v>101.32828924645834</v>
      </c>
      <c r="I28"/>
      <c r="J28"/>
      <c r="K28"/>
      <c r="L28"/>
    </row>
    <row r="29" spans="1:8" ht="15">
      <c r="A29" s="164"/>
      <c r="B29" s="57"/>
      <c r="C29" s="107"/>
      <c r="D29" s="19"/>
      <c r="E29" s="19"/>
      <c r="F29" s="19"/>
      <c r="G29" s="8"/>
      <c r="H29" s="8"/>
    </row>
    <row r="30" spans="1:8" ht="15">
      <c r="A30" s="164"/>
      <c r="B30" s="57"/>
      <c r="C30" s="107"/>
      <c r="D30" s="19"/>
      <c r="E30" s="19"/>
      <c r="F30" s="19"/>
      <c r="G30" s="8"/>
      <c r="H30" s="8"/>
    </row>
    <row r="31" ht="14.25" customHeight="1"/>
    <row r="32" spans="1:12" s="86" customFormat="1" ht="28.5" customHeight="1">
      <c r="A32" s="451" t="s">
        <v>24</v>
      </c>
      <c r="B32" s="451"/>
      <c r="C32" s="451"/>
      <c r="D32" s="451"/>
      <c r="E32" s="451"/>
      <c r="F32" s="451"/>
      <c r="G32" s="451"/>
      <c r="H32" s="83"/>
      <c r="I32"/>
      <c r="J32"/>
      <c r="K32"/>
      <c r="L32"/>
    </row>
    <row r="33" spans="1:12" s="86" customFormat="1" ht="15" customHeight="1">
      <c r="A33" s="444" t="s">
        <v>53</v>
      </c>
      <c r="B33" s="446" t="s">
        <v>0</v>
      </c>
      <c r="C33" s="446" t="s">
        <v>133</v>
      </c>
      <c r="D33" s="441" t="s">
        <v>132</v>
      </c>
      <c r="E33" s="441" t="s">
        <v>226</v>
      </c>
      <c r="F33" s="441" t="s">
        <v>241</v>
      </c>
      <c r="G33" s="441" t="s">
        <v>50</v>
      </c>
      <c r="H33" s="441" t="s">
        <v>50</v>
      </c>
      <c r="I33"/>
      <c r="J33"/>
      <c r="K33"/>
      <c r="L33"/>
    </row>
    <row r="34" spans="1:12" s="86" customFormat="1" ht="33.75" customHeight="1">
      <c r="A34" s="445"/>
      <c r="B34" s="447"/>
      <c r="C34" s="447"/>
      <c r="D34" s="442"/>
      <c r="E34" s="442"/>
      <c r="F34" s="442"/>
      <c r="G34" s="442"/>
      <c r="H34" s="442"/>
      <c r="I34"/>
      <c r="J34"/>
      <c r="K34"/>
      <c r="L34"/>
    </row>
    <row r="35" spans="1:12" s="86" customFormat="1" ht="15" customHeight="1">
      <c r="A35" s="443">
        <v>1</v>
      </c>
      <c r="B35" s="443"/>
      <c r="C35" s="84">
        <v>2</v>
      </c>
      <c r="D35" s="85">
        <v>3</v>
      </c>
      <c r="E35" s="85">
        <v>4</v>
      </c>
      <c r="F35" s="85">
        <v>5</v>
      </c>
      <c r="G35" s="85" t="s">
        <v>51</v>
      </c>
      <c r="H35" s="85" t="s">
        <v>52</v>
      </c>
      <c r="I35"/>
      <c r="J35"/>
      <c r="K35"/>
      <c r="L35"/>
    </row>
    <row r="36" spans="1:12" s="86" customFormat="1" ht="15" customHeight="1">
      <c r="A36" s="289">
        <v>3</v>
      </c>
      <c r="B36" s="290" t="s">
        <v>243</v>
      </c>
      <c r="C36" s="255">
        <f>C37+C45+C78+C83+C87</f>
        <v>7846258.51</v>
      </c>
      <c r="D36" s="255">
        <f>D37+D45+D78+D83+D87</f>
        <v>7464785</v>
      </c>
      <c r="E36" s="255">
        <f>E37+E45+E78+E83+E87</f>
        <v>8241605</v>
      </c>
      <c r="F36" s="255">
        <f>F37+F45+F78+F83+F87</f>
        <v>8380943.19</v>
      </c>
      <c r="G36" s="109">
        <f aca="true" t="shared" si="2" ref="G36:G77">F36/C36*100</f>
        <v>106.81451776434014</v>
      </c>
      <c r="H36" s="256">
        <f aca="true" t="shared" si="3" ref="H36:H96">F36/E36*100</f>
        <v>101.69066814048963</v>
      </c>
      <c r="I36" s="288"/>
      <c r="J36" s="288"/>
      <c r="K36" s="288"/>
      <c r="L36" s="288"/>
    </row>
    <row r="37" spans="1:12" s="88" customFormat="1" ht="15" customHeight="1">
      <c r="A37" s="120">
        <v>31</v>
      </c>
      <c r="B37" s="121" t="s">
        <v>4</v>
      </c>
      <c r="C37" s="122">
        <f>SUM(C38,C40,C42)</f>
        <v>6846825.08</v>
      </c>
      <c r="D37" s="122">
        <f>SUM(D38,D40,D42)</f>
        <v>6340600</v>
      </c>
      <c r="E37" s="122">
        <f>SUM(E38,E40,E42)</f>
        <v>6933890</v>
      </c>
      <c r="F37" s="122">
        <f>SUM(F38,F40,F42)</f>
        <v>7207687.41</v>
      </c>
      <c r="G37" s="109">
        <f t="shared" si="2"/>
        <v>105.27050604891457</v>
      </c>
      <c r="H37" s="256">
        <f t="shared" si="3"/>
        <v>103.94868407199999</v>
      </c>
      <c r="I37"/>
      <c r="J37"/>
      <c r="K37"/>
      <c r="L37"/>
    </row>
    <row r="38" spans="1:12" s="191" customFormat="1" ht="15" customHeight="1">
      <c r="A38" s="117">
        <v>311</v>
      </c>
      <c r="B38" s="118" t="s">
        <v>5</v>
      </c>
      <c r="C38" s="119">
        <f>SUM(C39:C39)</f>
        <v>5667083.08</v>
      </c>
      <c r="D38" s="119">
        <f>SUM(D39:D39)</f>
        <v>5214000</v>
      </c>
      <c r="E38" s="119">
        <f>SUM(E39:E39)</f>
        <v>5716000</v>
      </c>
      <c r="F38" s="119">
        <f>SUM(F39:F39)</f>
        <v>5957561.54</v>
      </c>
      <c r="G38" s="113">
        <f t="shared" si="2"/>
        <v>105.12571380901655</v>
      </c>
      <c r="H38" s="232">
        <f t="shared" si="3"/>
        <v>104.22605913226033</v>
      </c>
      <c r="I38"/>
      <c r="J38"/>
      <c r="K38"/>
      <c r="L38"/>
    </row>
    <row r="39" spans="1:12" s="86" customFormat="1" ht="15" customHeight="1">
      <c r="A39" s="90">
        <v>3111</v>
      </c>
      <c r="B39" s="17" t="s">
        <v>54</v>
      </c>
      <c r="C39" s="87">
        <v>5667083.08</v>
      </c>
      <c r="D39" s="87">
        <f>117000+117000+4980000</f>
        <v>5214000</v>
      </c>
      <c r="E39" s="170">
        <f>286000+5330000+100000</f>
        <v>5716000</v>
      </c>
      <c r="F39" s="87">
        <v>5957561.54</v>
      </c>
      <c r="G39" s="25">
        <f>F39/C39*100</f>
        <v>105.12571380901655</v>
      </c>
      <c r="H39" s="233">
        <f>F39/E39*100</f>
        <v>104.22605913226033</v>
      </c>
      <c r="I39"/>
      <c r="J39"/>
      <c r="K39"/>
      <c r="L39"/>
    </row>
    <row r="40" spans="1:12" s="191" customFormat="1" ht="15">
      <c r="A40" s="117">
        <v>312</v>
      </c>
      <c r="B40" s="118" t="s">
        <v>6</v>
      </c>
      <c r="C40" s="119">
        <f>SUM(C41)</f>
        <v>248326.23</v>
      </c>
      <c r="D40" s="119">
        <f>SUM(D41)</f>
        <v>266000</v>
      </c>
      <c r="E40" s="119">
        <f>SUM(E41)</f>
        <v>274000</v>
      </c>
      <c r="F40" s="119">
        <f>SUM(F41)</f>
        <v>269052.13</v>
      </c>
      <c r="G40" s="113">
        <f t="shared" si="2"/>
        <v>108.34623873603687</v>
      </c>
      <c r="H40" s="232">
        <f t="shared" si="3"/>
        <v>98.19420802919709</v>
      </c>
      <c r="I40"/>
      <c r="J40"/>
      <c r="K40"/>
      <c r="L40"/>
    </row>
    <row r="41" spans="1:12" s="86" customFormat="1" ht="15">
      <c r="A41" s="90" t="s">
        <v>65</v>
      </c>
      <c r="B41" s="93" t="s">
        <v>6</v>
      </c>
      <c r="C41" s="87">
        <v>248326.23</v>
      </c>
      <c r="D41" s="87">
        <f>12000+12000+242000</f>
        <v>266000</v>
      </c>
      <c r="E41" s="170">
        <f>12000+12000+70000+180000</f>
        <v>274000</v>
      </c>
      <c r="F41" s="87">
        <v>269052.13</v>
      </c>
      <c r="G41" s="25">
        <f t="shared" si="2"/>
        <v>108.34623873603687</v>
      </c>
      <c r="H41" s="233">
        <f t="shared" si="3"/>
        <v>98.19420802919709</v>
      </c>
      <c r="I41"/>
      <c r="J41"/>
      <c r="K41"/>
      <c r="L41"/>
    </row>
    <row r="42" spans="1:12" s="191" customFormat="1" ht="15">
      <c r="A42" s="117">
        <v>313</v>
      </c>
      <c r="B42" s="118" t="s">
        <v>7</v>
      </c>
      <c r="C42" s="119">
        <f>SUM(C43:C44)</f>
        <v>931415.77</v>
      </c>
      <c r="D42" s="119">
        <f>SUM(D43:D44)</f>
        <v>860600</v>
      </c>
      <c r="E42" s="119">
        <f>SUM(E43:E44)</f>
        <v>943890</v>
      </c>
      <c r="F42" s="119">
        <f>SUM(F43:F44)</f>
        <v>981073.74</v>
      </c>
      <c r="G42" s="113">
        <f t="shared" si="2"/>
        <v>105.33145042197427</v>
      </c>
      <c r="H42" s="232">
        <f t="shared" si="3"/>
        <v>103.9394145504243</v>
      </c>
      <c r="I42"/>
      <c r="J42"/>
      <c r="K42"/>
      <c r="L42"/>
    </row>
    <row r="43" spans="1:12" s="86" customFormat="1" ht="15">
      <c r="A43" s="90">
        <v>3132</v>
      </c>
      <c r="B43" s="93" t="s">
        <v>55</v>
      </c>
      <c r="C43" s="87">
        <v>930429.24</v>
      </c>
      <c r="D43" s="87">
        <f>19300+19300+822000</f>
        <v>860600</v>
      </c>
      <c r="E43" s="87">
        <f>47190+879000+15500+500</f>
        <v>942190</v>
      </c>
      <c r="F43" s="87">
        <v>980783.95</v>
      </c>
      <c r="G43" s="25">
        <f t="shared" si="2"/>
        <v>105.41198705234156</v>
      </c>
      <c r="H43" s="233">
        <f t="shared" si="3"/>
        <v>104.09619609632877</v>
      </c>
      <c r="I43"/>
      <c r="J43"/>
      <c r="K43"/>
      <c r="L43"/>
    </row>
    <row r="44" spans="1:12" s="86" customFormat="1" ht="30">
      <c r="A44" s="90">
        <v>3133</v>
      </c>
      <c r="B44" s="93" t="s">
        <v>56</v>
      </c>
      <c r="C44" s="87">
        <v>986.53</v>
      </c>
      <c r="D44" s="87">
        <v>0</v>
      </c>
      <c r="E44" s="170">
        <f>1700</f>
        <v>1700</v>
      </c>
      <c r="F44" s="87">
        <v>289.79</v>
      </c>
      <c r="G44" s="25">
        <v>0</v>
      </c>
      <c r="H44" s="233">
        <f t="shared" si="3"/>
        <v>17.046470588235294</v>
      </c>
      <c r="I44"/>
      <c r="J44"/>
      <c r="K44"/>
      <c r="L44"/>
    </row>
    <row r="45" spans="1:12" s="88" customFormat="1" ht="15">
      <c r="A45" s="120">
        <v>32</v>
      </c>
      <c r="B45" s="121" t="s">
        <v>8</v>
      </c>
      <c r="C45" s="122">
        <f>SUM(C46,C51,C58,C68,C70)</f>
        <v>829112.6699999999</v>
      </c>
      <c r="D45" s="122">
        <f>SUM(D46,D51,D58,D68,D70)</f>
        <v>1121185</v>
      </c>
      <c r="E45" s="122">
        <f>SUM(E46,E51,E58,E68,E70)</f>
        <v>1129015</v>
      </c>
      <c r="F45" s="122">
        <f>SUM(F46,F51,F58,F68,F70)</f>
        <v>1014192</v>
      </c>
      <c r="G45" s="109">
        <f t="shared" si="2"/>
        <v>122.32257890836478</v>
      </c>
      <c r="H45" s="256">
        <f t="shared" si="3"/>
        <v>89.82980739848452</v>
      </c>
      <c r="I45"/>
      <c r="J45"/>
      <c r="K45"/>
      <c r="L45"/>
    </row>
    <row r="46" spans="1:12" s="191" customFormat="1" ht="15">
      <c r="A46" s="117">
        <v>321</v>
      </c>
      <c r="B46" s="118" t="s">
        <v>9</v>
      </c>
      <c r="C46" s="119">
        <f>SUM(C47,C48,C49,C50)</f>
        <v>169421.6</v>
      </c>
      <c r="D46" s="119">
        <f>SUM(D47,D48,D49,D50)</f>
        <v>384560</v>
      </c>
      <c r="E46" s="119">
        <f>SUM(E47,E48,E49,E50)</f>
        <v>367110</v>
      </c>
      <c r="F46" s="119">
        <f>SUM(F47,F48,F49,F50)</f>
        <v>286019.47</v>
      </c>
      <c r="G46" s="113">
        <f t="shared" si="2"/>
        <v>168.82113614792917</v>
      </c>
      <c r="H46" s="232">
        <f t="shared" si="3"/>
        <v>77.91110838713192</v>
      </c>
      <c r="I46"/>
      <c r="J46"/>
      <c r="K46"/>
      <c r="L46"/>
    </row>
    <row r="47" spans="1:12" s="86" customFormat="1" ht="15">
      <c r="A47" s="90" t="s">
        <v>57</v>
      </c>
      <c r="B47" s="93" t="s">
        <v>58</v>
      </c>
      <c r="C47" s="87">
        <v>7230</v>
      </c>
      <c r="D47" s="170">
        <f>23600+1000+150000+1000</f>
        <v>175600</v>
      </c>
      <c r="E47" s="170">
        <f>8500+8000+5000+100+54000+34000+34000+5950+4000</f>
        <v>153550</v>
      </c>
      <c r="F47" s="87">
        <v>80379.95</v>
      </c>
      <c r="G47" s="25">
        <f t="shared" si="2"/>
        <v>1111.755878284924</v>
      </c>
      <c r="H47" s="233">
        <f t="shared" si="3"/>
        <v>52.34773689352002</v>
      </c>
      <c r="I47"/>
      <c r="J47"/>
      <c r="K47"/>
      <c r="L47"/>
    </row>
    <row r="48" spans="1:12" s="86" customFormat="1" ht="30">
      <c r="A48" s="90" t="s">
        <v>59</v>
      </c>
      <c r="B48" s="93" t="s">
        <v>10</v>
      </c>
      <c r="C48" s="87">
        <v>157096.6</v>
      </c>
      <c r="D48" s="170">
        <f>11400+175000+11400</f>
        <v>197800</v>
      </c>
      <c r="E48" s="285">
        <f>30400+172000</f>
        <v>202400</v>
      </c>
      <c r="F48" s="87">
        <v>165071.11</v>
      </c>
      <c r="G48" s="25">
        <f t="shared" si="2"/>
        <v>105.07618242533574</v>
      </c>
      <c r="H48" s="233">
        <f t="shared" si="3"/>
        <v>81.55687252964427</v>
      </c>
      <c r="I48"/>
      <c r="J48"/>
      <c r="K48"/>
      <c r="L48"/>
    </row>
    <row r="49" spans="1:12" s="86" customFormat="1" ht="15">
      <c r="A49" s="90">
        <v>3213</v>
      </c>
      <c r="B49" s="93" t="s">
        <v>94</v>
      </c>
      <c r="C49" s="87">
        <v>5095</v>
      </c>
      <c r="D49" s="170">
        <v>6000</v>
      </c>
      <c r="E49" s="285">
        <f>6000</f>
        <v>6000</v>
      </c>
      <c r="F49" s="87">
        <v>38666.42</v>
      </c>
      <c r="G49" s="25">
        <f t="shared" si="2"/>
        <v>758.9091265947006</v>
      </c>
      <c r="H49" s="233">
        <f t="shared" si="3"/>
        <v>644.4403333333332</v>
      </c>
      <c r="I49"/>
      <c r="J49"/>
      <c r="K49"/>
      <c r="L49"/>
    </row>
    <row r="50" spans="1:12" s="86" customFormat="1" ht="15">
      <c r="A50" s="90">
        <v>3214</v>
      </c>
      <c r="B50" s="93" t="s">
        <v>136</v>
      </c>
      <c r="C50" s="87">
        <v>0</v>
      </c>
      <c r="D50" s="170">
        <f>800+1360+3000</f>
        <v>5160</v>
      </c>
      <c r="E50" s="285">
        <f>800+3000+1360</f>
        <v>5160</v>
      </c>
      <c r="F50" s="87">
        <v>1901.99</v>
      </c>
      <c r="G50" s="25" t="e">
        <f t="shared" si="2"/>
        <v>#DIV/0!</v>
      </c>
      <c r="H50" s="233">
        <f t="shared" si="3"/>
        <v>36.86027131782946</v>
      </c>
      <c r="I50"/>
      <c r="J50"/>
      <c r="K50"/>
      <c r="L50"/>
    </row>
    <row r="51" spans="1:12" s="191" customFormat="1" ht="15">
      <c r="A51" s="117">
        <v>322</v>
      </c>
      <c r="B51" s="118" t="s">
        <v>11</v>
      </c>
      <c r="C51" s="119">
        <f>SUM(C52:C57)</f>
        <v>405436.22</v>
      </c>
      <c r="D51" s="119">
        <f>SUM(D52:D57)</f>
        <v>481605</v>
      </c>
      <c r="E51" s="119">
        <f>SUM(E52:E57)</f>
        <v>483085</v>
      </c>
      <c r="F51" s="119">
        <f>SUM(F52:F57)</f>
        <v>451164.73</v>
      </c>
      <c r="G51" s="113">
        <f t="shared" si="2"/>
        <v>111.27884183608461</v>
      </c>
      <c r="H51" s="232">
        <f t="shared" si="3"/>
        <v>93.39241127337839</v>
      </c>
      <c r="I51"/>
      <c r="J51"/>
      <c r="K51"/>
      <c r="L51"/>
    </row>
    <row r="52" spans="1:12" s="86" customFormat="1" ht="15">
      <c r="A52" s="90" t="s">
        <v>60</v>
      </c>
      <c r="B52" s="93" t="s">
        <v>12</v>
      </c>
      <c r="C52" s="87">
        <v>61182.46</v>
      </c>
      <c r="D52" s="170">
        <f>66300+5000+2000+3000+4505+3000</f>
        <v>83805</v>
      </c>
      <c r="E52" s="286">
        <f>21000+5000+9000+25200+6100+3000+5005+2500+2000</f>
        <v>78805</v>
      </c>
      <c r="F52" s="87">
        <v>64473.09</v>
      </c>
      <c r="G52" s="25">
        <f t="shared" si="2"/>
        <v>105.3783878582195</v>
      </c>
      <c r="H52" s="233">
        <f t="shared" si="3"/>
        <v>81.81345092316477</v>
      </c>
      <c r="I52"/>
      <c r="J52"/>
      <c r="K52"/>
      <c r="L52"/>
    </row>
    <row r="53" spans="1:12" s="86" customFormat="1" ht="15">
      <c r="A53" s="90">
        <v>3222</v>
      </c>
      <c r="B53" s="93" t="s">
        <v>95</v>
      </c>
      <c r="C53" s="87">
        <v>96806.3</v>
      </c>
      <c r="D53" s="170">
        <f>1000+130000</f>
        <v>131000</v>
      </c>
      <c r="E53" s="287">
        <f>1000+130000</f>
        <v>131000</v>
      </c>
      <c r="F53" s="87">
        <v>118923.78</v>
      </c>
      <c r="G53" s="25">
        <f t="shared" si="2"/>
        <v>122.8471494107305</v>
      </c>
      <c r="H53" s="233">
        <f t="shared" si="3"/>
        <v>90.78151145038169</v>
      </c>
      <c r="I53"/>
      <c r="J53"/>
      <c r="K53"/>
      <c r="L53"/>
    </row>
    <row r="54" spans="1:12" s="86" customFormat="1" ht="15">
      <c r="A54" s="90" t="s">
        <v>61</v>
      </c>
      <c r="B54" s="93" t="s">
        <v>62</v>
      </c>
      <c r="C54" s="87">
        <v>204790.94</v>
      </c>
      <c r="D54" s="170">
        <v>218300</v>
      </c>
      <c r="E54" s="286">
        <v>223300</v>
      </c>
      <c r="F54" s="87">
        <v>220801.26</v>
      </c>
      <c r="G54" s="25">
        <f t="shared" si="2"/>
        <v>107.81788491229153</v>
      </c>
      <c r="H54" s="233">
        <f t="shared" si="3"/>
        <v>98.88099417823555</v>
      </c>
      <c r="I54"/>
      <c r="J54"/>
      <c r="K54"/>
      <c r="L54"/>
    </row>
    <row r="55" spans="1:12" s="86" customFormat="1" ht="30">
      <c r="A55" s="90" t="s">
        <v>63</v>
      </c>
      <c r="B55" s="93" t="s">
        <v>64</v>
      </c>
      <c r="C55" s="87">
        <v>33294.28</v>
      </c>
      <c r="D55" s="170">
        <v>26000</v>
      </c>
      <c r="E55" s="286">
        <v>26980</v>
      </c>
      <c r="F55" s="87">
        <v>22941.05</v>
      </c>
      <c r="G55" s="25">
        <f t="shared" si="2"/>
        <v>68.90387778321082</v>
      </c>
      <c r="H55" s="233">
        <f t="shared" si="3"/>
        <v>85.02983691623425</v>
      </c>
      <c r="I55"/>
      <c r="J55"/>
      <c r="K55"/>
      <c r="L55"/>
    </row>
    <row r="56" spans="1:12" s="86" customFormat="1" ht="15">
      <c r="A56" s="90">
        <v>3225</v>
      </c>
      <c r="B56" s="93" t="s">
        <v>96</v>
      </c>
      <c r="C56" s="87">
        <v>4603.99</v>
      </c>
      <c r="D56" s="170">
        <f>5000+7000+7500</f>
        <v>19500</v>
      </c>
      <c r="E56" s="286">
        <v>20000</v>
      </c>
      <c r="F56" s="87">
        <v>16247.1</v>
      </c>
      <c r="G56" s="25">
        <f t="shared" si="2"/>
        <v>352.8917308682252</v>
      </c>
      <c r="H56" s="233">
        <f t="shared" si="3"/>
        <v>81.2355</v>
      </c>
      <c r="I56"/>
      <c r="J56"/>
      <c r="K56"/>
      <c r="L56"/>
    </row>
    <row r="57" spans="1:12" s="86" customFormat="1" ht="15">
      <c r="A57" s="90">
        <v>3227</v>
      </c>
      <c r="B57" s="93" t="s">
        <v>97</v>
      </c>
      <c r="C57" s="87">
        <v>4758.25</v>
      </c>
      <c r="D57" s="170">
        <v>3000</v>
      </c>
      <c r="E57" s="286">
        <v>3000</v>
      </c>
      <c r="F57" s="87">
        <v>7778.45</v>
      </c>
      <c r="G57" s="25">
        <f t="shared" si="2"/>
        <v>163.47291546261755</v>
      </c>
      <c r="H57" s="233">
        <f t="shared" si="3"/>
        <v>259.2816666666667</v>
      </c>
      <c r="I57"/>
      <c r="J57"/>
      <c r="K57"/>
      <c r="L57"/>
    </row>
    <row r="58" spans="1:12" s="191" customFormat="1" ht="15">
      <c r="A58" s="117">
        <v>323</v>
      </c>
      <c r="B58" s="118" t="s">
        <v>13</v>
      </c>
      <c r="C58" s="119">
        <f>SUM(C59:C67)</f>
        <v>194796.72</v>
      </c>
      <c r="D58" s="119">
        <f>SUM(D59:D67)</f>
        <v>212520</v>
      </c>
      <c r="E58" s="119">
        <f>SUM(E59:E67)</f>
        <v>214920</v>
      </c>
      <c r="F58" s="119">
        <f>SUM(F59:F67)</f>
        <v>200232.56</v>
      </c>
      <c r="G58" s="113">
        <f t="shared" si="2"/>
        <v>102.79051926541678</v>
      </c>
      <c r="H58" s="232">
        <f t="shared" si="3"/>
        <v>93.16608970779825</v>
      </c>
      <c r="I58"/>
      <c r="J58"/>
      <c r="K58"/>
      <c r="L58"/>
    </row>
    <row r="59" spans="1:12" s="86" customFormat="1" ht="15">
      <c r="A59" s="90" t="s">
        <v>66</v>
      </c>
      <c r="B59" s="93" t="s">
        <v>67</v>
      </c>
      <c r="C59" s="87">
        <v>46383.32</v>
      </c>
      <c r="D59" s="170">
        <f>88200+500+4000</f>
        <v>92700</v>
      </c>
      <c r="E59" s="286">
        <v>92700</v>
      </c>
      <c r="F59" s="273">
        <v>49970.78</v>
      </c>
      <c r="G59" s="25">
        <f t="shared" si="2"/>
        <v>107.73437520212008</v>
      </c>
      <c r="H59" s="233">
        <f>F59/E59*100</f>
        <v>53.905911542610575</v>
      </c>
      <c r="I59"/>
      <c r="J59"/>
      <c r="K59"/>
      <c r="L59"/>
    </row>
    <row r="60" spans="1:12" s="86" customFormat="1" ht="15">
      <c r="A60" s="90" t="s">
        <v>68</v>
      </c>
      <c r="B60" s="93" t="s">
        <v>69</v>
      </c>
      <c r="C60" s="87">
        <v>70080.2</v>
      </c>
      <c r="D60" s="170">
        <v>32920</v>
      </c>
      <c r="E60" s="286">
        <v>32920</v>
      </c>
      <c r="F60" s="273">
        <v>45827.71</v>
      </c>
      <c r="G60" s="25">
        <f t="shared" si="2"/>
        <v>65.39323517912334</v>
      </c>
      <c r="H60" s="233">
        <f aca="true" t="shared" si="4" ref="H60:H67">F60/E60*100</f>
        <v>139.2093256379101</v>
      </c>
      <c r="I60"/>
      <c r="J60"/>
      <c r="K60"/>
      <c r="L60"/>
    </row>
    <row r="61" spans="1:12" s="86" customFormat="1" ht="15">
      <c r="A61" s="90">
        <v>3233</v>
      </c>
      <c r="B61" s="93" t="s">
        <v>120</v>
      </c>
      <c r="C61" s="87">
        <v>0</v>
      </c>
      <c r="D61" s="170">
        <v>3000</v>
      </c>
      <c r="E61" s="286">
        <f>2500</f>
        <v>2500</v>
      </c>
      <c r="F61" s="273">
        <v>0</v>
      </c>
      <c r="G61" s="25" t="e">
        <f t="shared" si="2"/>
        <v>#DIV/0!</v>
      </c>
      <c r="H61" s="233">
        <f t="shared" si="4"/>
        <v>0</v>
      </c>
      <c r="I61"/>
      <c r="J61"/>
      <c r="K61"/>
      <c r="L61"/>
    </row>
    <row r="62" spans="1:12" s="86" customFormat="1" ht="15">
      <c r="A62" s="90" t="s">
        <v>70</v>
      </c>
      <c r="B62" s="93" t="s">
        <v>71</v>
      </c>
      <c r="C62" s="87">
        <v>18422.15</v>
      </c>
      <c r="D62" s="170">
        <v>15500</v>
      </c>
      <c r="E62" s="286">
        <f>6600+3800+4200+3900</f>
        <v>18500</v>
      </c>
      <c r="F62" s="273">
        <v>18946.6</v>
      </c>
      <c r="G62" s="25">
        <f t="shared" si="2"/>
        <v>102.84684469510886</v>
      </c>
      <c r="H62" s="233">
        <f t="shared" si="4"/>
        <v>102.41405405405403</v>
      </c>
      <c r="I62"/>
      <c r="J62"/>
      <c r="K62"/>
      <c r="L62"/>
    </row>
    <row r="63" spans="1:12" s="86" customFormat="1" ht="15">
      <c r="A63" s="90">
        <v>3235</v>
      </c>
      <c r="B63" s="93" t="s">
        <v>98</v>
      </c>
      <c r="C63" s="87">
        <v>14751.7</v>
      </c>
      <c r="D63" s="170">
        <v>15000</v>
      </c>
      <c r="E63" s="286">
        <f>14500</f>
        <v>14500</v>
      </c>
      <c r="F63" s="273">
        <v>16829</v>
      </c>
      <c r="G63" s="25">
        <f t="shared" si="2"/>
        <v>114.08176684721083</v>
      </c>
      <c r="H63" s="233">
        <f t="shared" si="4"/>
        <v>116.06206896551726</v>
      </c>
      <c r="I63"/>
      <c r="J63"/>
      <c r="K63"/>
      <c r="L63"/>
    </row>
    <row r="64" spans="1:12" s="86" customFormat="1" ht="15">
      <c r="A64" s="90">
        <v>3236</v>
      </c>
      <c r="B64" s="93" t="s">
        <v>99</v>
      </c>
      <c r="C64" s="87">
        <v>12080</v>
      </c>
      <c r="D64" s="170">
        <v>18000</v>
      </c>
      <c r="E64" s="286">
        <f>18000</f>
        <v>18000</v>
      </c>
      <c r="F64" s="273">
        <v>27320</v>
      </c>
      <c r="G64" s="25">
        <f t="shared" si="2"/>
        <v>226.15894039735102</v>
      </c>
      <c r="H64" s="233">
        <f t="shared" si="4"/>
        <v>151.77777777777777</v>
      </c>
      <c r="I64"/>
      <c r="J64"/>
      <c r="K64"/>
      <c r="L64"/>
    </row>
    <row r="65" spans="1:12" s="86" customFormat="1" ht="15">
      <c r="A65" s="90">
        <v>3237</v>
      </c>
      <c r="B65" s="93" t="s">
        <v>100</v>
      </c>
      <c r="C65" s="87">
        <v>465.37</v>
      </c>
      <c r="D65" s="170">
        <v>1000</v>
      </c>
      <c r="E65" s="286">
        <f>300+500+200</f>
        <v>1000</v>
      </c>
      <c r="F65" s="273">
        <v>0</v>
      </c>
      <c r="G65" s="25">
        <f t="shared" si="2"/>
        <v>0</v>
      </c>
      <c r="H65" s="233">
        <f t="shared" si="4"/>
        <v>0</v>
      </c>
      <c r="I65"/>
      <c r="J65"/>
      <c r="K65"/>
      <c r="L65"/>
    </row>
    <row r="66" spans="1:12" s="86" customFormat="1" ht="15">
      <c r="A66" s="90" t="s">
        <v>72</v>
      </c>
      <c r="B66" s="93" t="s">
        <v>73</v>
      </c>
      <c r="C66" s="87">
        <v>31450.48</v>
      </c>
      <c r="D66" s="170">
        <f>19600+9500</f>
        <v>29100</v>
      </c>
      <c r="E66" s="287">
        <v>29100</v>
      </c>
      <c r="F66" s="273">
        <v>26226.97</v>
      </c>
      <c r="G66" s="25">
        <f t="shared" si="2"/>
        <v>83.39131866985814</v>
      </c>
      <c r="H66" s="233">
        <f t="shared" si="4"/>
        <v>90.12704467353953</v>
      </c>
      <c r="I66"/>
      <c r="J66"/>
      <c r="K66"/>
      <c r="L66"/>
    </row>
    <row r="67" spans="1:12" s="86" customFormat="1" ht="15">
      <c r="A67" s="90" t="s">
        <v>74</v>
      </c>
      <c r="B67" s="93" t="s">
        <v>14</v>
      </c>
      <c r="C67" s="87">
        <v>1163.5</v>
      </c>
      <c r="D67" s="170">
        <f>2300+3000</f>
        <v>5300</v>
      </c>
      <c r="E67" s="286">
        <f>500+1200+4000</f>
        <v>5700</v>
      </c>
      <c r="F67" s="273">
        <v>15111.5</v>
      </c>
      <c r="G67" s="25">
        <f t="shared" si="2"/>
        <v>1298.7967339922648</v>
      </c>
      <c r="H67" s="233">
        <f t="shared" si="4"/>
        <v>265.1140350877193</v>
      </c>
      <c r="I67"/>
      <c r="J67"/>
      <c r="K67"/>
      <c r="L67"/>
    </row>
    <row r="68" spans="1:12" s="88" customFormat="1" ht="15">
      <c r="A68" s="117">
        <v>324</v>
      </c>
      <c r="B68" s="118" t="s">
        <v>20</v>
      </c>
      <c r="C68" s="119">
        <f>SUM(C69)</f>
        <v>0</v>
      </c>
      <c r="D68" s="119">
        <f>SUM(D69)</f>
        <v>100</v>
      </c>
      <c r="E68" s="119">
        <f>SUM(E69)</f>
        <v>100</v>
      </c>
      <c r="F68" s="119">
        <f>SUM(F69)</f>
        <v>18318</v>
      </c>
      <c r="G68" s="113" t="e">
        <f t="shared" si="2"/>
        <v>#DIV/0!</v>
      </c>
      <c r="H68" s="232">
        <f t="shared" si="3"/>
        <v>18318</v>
      </c>
      <c r="I68"/>
      <c r="J68"/>
      <c r="K68"/>
      <c r="L68"/>
    </row>
    <row r="69" spans="1:12" s="86" customFormat="1" ht="30">
      <c r="A69" s="90">
        <v>3241</v>
      </c>
      <c r="B69" s="93" t="s">
        <v>20</v>
      </c>
      <c r="C69" s="87">
        <v>0</v>
      </c>
      <c r="D69" s="87">
        <v>100</v>
      </c>
      <c r="E69" s="87">
        <v>100</v>
      </c>
      <c r="F69" s="87">
        <v>18318</v>
      </c>
      <c r="G69" s="25" t="e">
        <f t="shared" si="2"/>
        <v>#DIV/0!</v>
      </c>
      <c r="H69" s="233">
        <f t="shared" si="3"/>
        <v>18318</v>
      </c>
      <c r="I69"/>
      <c r="J69"/>
      <c r="K69"/>
      <c r="L69"/>
    </row>
    <row r="70" spans="1:12" s="191" customFormat="1" ht="15">
      <c r="A70" s="117">
        <v>329</v>
      </c>
      <c r="B70" s="118" t="s">
        <v>15</v>
      </c>
      <c r="C70" s="119">
        <f>SUM(C71:C77)</f>
        <v>59458.130000000005</v>
      </c>
      <c r="D70" s="119">
        <f>SUM(D71:D77)</f>
        <v>42400</v>
      </c>
      <c r="E70" s="119">
        <f>SUM(E71:E77)</f>
        <v>63800</v>
      </c>
      <c r="F70" s="119">
        <f>SUM(F71:F77)</f>
        <v>58457.24</v>
      </c>
      <c r="G70" s="113">
        <f t="shared" si="2"/>
        <v>98.31664736176532</v>
      </c>
      <c r="H70" s="232">
        <f t="shared" si="3"/>
        <v>91.62576802507837</v>
      </c>
      <c r="I70"/>
      <c r="J70"/>
      <c r="K70"/>
      <c r="L70"/>
    </row>
    <row r="71" spans="1:12" s="86" customFormat="1" ht="30">
      <c r="A71" s="90" t="s">
        <v>75</v>
      </c>
      <c r="B71" s="93" t="s">
        <v>76</v>
      </c>
      <c r="C71" s="87">
        <v>0</v>
      </c>
      <c r="D71" s="170">
        <v>0</v>
      </c>
      <c r="E71" s="286">
        <v>0</v>
      </c>
      <c r="F71" s="273">
        <v>0</v>
      </c>
      <c r="G71" s="25" t="e">
        <f t="shared" si="2"/>
        <v>#DIV/0!</v>
      </c>
      <c r="H71" s="233" t="e">
        <f>F71/E71*100</f>
        <v>#DIV/0!</v>
      </c>
      <c r="I71"/>
      <c r="J71"/>
      <c r="K71"/>
      <c r="L71"/>
    </row>
    <row r="72" spans="1:12" s="86" customFormat="1" ht="15">
      <c r="A72" s="90">
        <v>3292</v>
      </c>
      <c r="B72" s="93" t="s">
        <v>121</v>
      </c>
      <c r="C72" s="87">
        <v>0</v>
      </c>
      <c r="D72" s="170">
        <v>3000</v>
      </c>
      <c r="E72" s="286">
        <f>2500</f>
        <v>2500</v>
      </c>
      <c r="F72" s="273">
        <v>0</v>
      </c>
      <c r="G72" s="25" t="e">
        <f t="shared" si="2"/>
        <v>#DIV/0!</v>
      </c>
      <c r="H72" s="233">
        <f aca="true" t="shared" si="5" ref="H72:H77">F72/E72*100</f>
        <v>0</v>
      </c>
      <c r="I72"/>
      <c r="J72"/>
      <c r="K72"/>
      <c r="L72"/>
    </row>
    <row r="73" spans="1:12" s="86" customFormat="1" ht="15">
      <c r="A73" s="90" t="s">
        <v>77</v>
      </c>
      <c r="B73" s="93" t="s">
        <v>78</v>
      </c>
      <c r="C73" s="87">
        <v>449.88</v>
      </c>
      <c r="D73" s="170">
        <f>1400+3000</f>
        <v>4400</v>
      </c>
      <c r="E73" s="286">
        <f>1000+1500</f>
        <v>2500</v>
      </c>
      <c r="F73" s="273">
        <v>0</v>
      </c>
      <c r="G73" s="25">
        <f t="shared" si="2"/>
        <v>0</v>
      </c>
      <c r="H73" s="233">
        <f t="shared" si="5"/>
        <v>0</v>
      </c>
      <c r="I73"/>
      <c r="J73"/>
      <c r="K73"/>
      <c r="L73"/>
    </row>
    <row r="74" spans="1:12" s="86" customFormat="1" ht="15">
      <c r="A74" s="90">
        <v>3294</v>
      </c>
      <c r="B74" s="93" t="s">
        <v>101</v>
      </c>
      <c r="C74" s="87">
        <v>1100</v>
      </c>
      <c r="D74" s="170">
        <v>1500</v>
      </c>
      <c r="E74" s="286">
        <f>1500</f>
        <v>1500</v>
      </c>
      <c r="F74" s="273">
        <v>1300</v>
      </c>
      <c r="G74" s="25">
        <f t="shared" si="2"/>
        <v>118.18181818181819</v>
      </c>
      <c r="H74" s="233">
        <f t="shared" si="5"/>
        <v>86.66666666666667</v>
      </c>
      <c r="I74"/>
      <c r="J74"/>
      <c r="K74"/>
      <c r="L74"/>
    </row>
    <row r="75" spans="1:12" s="86" customFormat="1" ht="15">
      <c r="A75" s="90">
        <v>3295</v>
      </c>
      <c r="B75" s="93" t="s">
        <v>79</v>
      </c>
      <c r="C75" s="87">
        <v>13412.5</v>
      </c>
      <c r="D75" s="170">
        <v>27000</v>
      </c>
      <c r="E75" s="286">
        <v>26800</v>
      </c>
      <c r="F75" s="273">
        <v>22325</v>
      </c>
      <c r="G75" s="25">
        <f t="shared" si="2"/>
        <v>166.44920782851818</v>
      </c>
      <c r="H75" s="233">
        <f t="shared" si="5"/>
        <v>83.30223880597015</v>
      </c>
      <c r="I75"/>
      <c r="J75"/>
      <c r="K75"/>
      <c r="L75"/>
    </row>
    <row r="76" spans="1:12" s="86" customFormat="1" ht="15">
      <c r="A76" s="90">
        <v>3296</v>
      </c>
      <c r="B76" s="93" t="s">
        <v>134</v>
      </c>
      <c r="C76" s="87">
        <v>36562.5</v>
      </c>
      <c r="D76" s="170"/>
      <c r="E76" s="286">
        <v>24000</v>
      </c>
      <c r="F76" s="273">
        <v>30625</v>
      </c>
      <c r="G76" s="25">
        <f t="shared" si="2"/>
        <v>83.76068376068376</v>
      </c>
      <c r="H76" s="233">
        <f t="shared" si="5"/>
        <v>127.60416666666667</v>
      </c>
      <c r="I76"/>
      <c r="J76"/>
      <c r="K76"/>
      <c r="L76"/>
    </row>
    <row r="77" spans="1:12" s="86" customFormat="1" ht="15">
      <c r="A77" s="90" t="s">
        <v>80</v>
      </c>
      <c r="B77" s="93" t="s">
        <v>15</v>
      </c>
      <c r="C77" s="87">
        <v>7933.25</v>
      </c>
      <c r="D77" s="170">
        <f>3500+3000</f>
        <v>6500</v>
      </c>
      <c r="E77" s="286">
        <v>6500</v>
      </c>
      <c r="F77" s="273">
        <v>4207.24</v>
      </c>
      <c r="G77" s="25">
        <f t="shared" si="2"/>
        <v>53.03299404405508</v>
      </c>
      <c r="H77" s="233">
        <f t="shared" si="5"/>
        <v>64.72676923076924</v>
      </c>
      <c r="I77"/>
      <c r="J77"/>
      <c r="K77"/>
      <c r="L77"/>
    </row>
    <row r="78" spans="1:12" s="88" customFormat="1" ht="15">
      <c r="A78" s="120">
        <v>34</v>
      </c>
      <c r="B78" s="121" t="s">
        <v>16</v>
      </c>
      <c r="C78" s="122">
        <f>SUM(C79)</f>
        <v>24113.850000000002</v>
      </c>
      <c r="D78" s="122">
        <f>SUM(D79)</f>
        <v>3000</v>
      </c>
      <c r="E78" s="122">
        <f>E79</f>
        <v>31700</v>
      </c>
      <c r="F78" s="122">
        <f>SUM(F79)</f>
        <v>24284.86</v>
      </c>
      <c r="G78" s="109">
        <f aca="true" t="shared" si="6" ref="G78:G96">F78/C78*100</f>
        <v>100.70917750587319</v>
      </c>
      <c r="H78" s="256">
        <f t="shared" si="3"/>
        <v>76.60839116719244</v>
      </c>
      <c r="I78"/>
      <c r="J78"/>
      <c r="K78"/>
      <c r="L78"/>
    </row>
    <row r="79" spans="1:12" s="191" customFormat="1" ht="15">
      <c r="A79" s="117">
        <v>343</v>
      </c>
      <c r="B79" s="118" t="s">
        <v>17</v>
      </c>
      <c r="C79" s="119">
        <f>SUM(C80:C82)</f>
        <v>24113.850000000002</v>
      </c>
      <c r="D79" s="119">
        <f>SUM(D80)</f>
        <v>3000</v>
      </c>
      <c r="E79" s="119">
        <f>SUM(E80,E82)</f>
        <v>31700</v>
      </c>
      <c r="F79" s="119">
        <f>SUM(F80:F82)</f>
        <v>24284.86</v>
      </c>
      <c r="G79" s="113">
        <f t="shared" si="6"/>
        <v>100.70917750587319</v>
      </c>
      <c r="H79" s="232">
        <f t="shared" si="3"/>
        <v>76.60839116719244</v>
      </c>
      <c r="I79"/>
      <c r="J79"/>
      <c r="K79"/>
      <c r="L79"/>
    </row>
    <row r="80" spans="1:12" s="86" customFormat="1" ht="15">
      <c r="A80" s="90" t="s">
        <v>81</v>
      </c>
      <c r="B80" s="93" t="s">
        <v>82</v>
      </c>
      <c r="C80" s="87">
        <v>2963.11</v>
      </c>
      <c r="D80" s="170">
        <v>3000</v>
      </c>
      <c r="E80" s="287">
        <f>3000</f>
        <v>3000</v>
      </c>
      <c r="F80" s="87">
        <v>4631.03</v>
      </c>
      <c r="G80" s="25">
        <f t="shared" si="6"/>
        <v>156.28950663323332</v>
      </c>
      <c r="H80" s="233">
        <f t="shared" si="3"/>
        <v>154.36766666666665</v>
      </c>
      <c r="I80"/>
      <c r="J80"/>
      <c r="K80"/>
      <c r="L80"/>
    </row>
    <row r="81" spans="1:12" s="86" customFormat="1" ht="15">
      <c r="A81" s="90">
        <v>3432</v>
      </c>
      <c r="B81" s="93" t="s">
        <v>227</v>
      </c>
      <c r="C81" s="87">
        <v>0</v>
      </c>
      <c r="D81" s="170"/>
      <c r="E81" s="287">
        <v>0</v>
      </c>
      <c r="F81" s="87">
        <v>47.94</v>
      </c>
      <c r="G81" s="25" t="e">
        <f t="shared" si="6"/>
        <v>#DIV/0!</v>
      </c>
      <c r="H81" s="233" t="e">
        <f t="shared" si="3"/>
        <v>#DIV/0!</v>
      </c>
      <c r="I81"/>
      <c r="J81"/>
      <c r="K81"/>
      <c r="L81"/>
    </row>
    <row r="82" spans="1:12" s="86" customFormat="1" ht="15">
      <c r="A82" s="90">
        <v>3433</v>
      </c>
      <c r="B82" s="93" t="s">
        <v>135</v>
      </c>
      <c r="C82" s="87">
        <v>21150.74</v>
      </c>
      <c r="D82" s="87">
        <v>0</v>
      </c>
      <c r="E82" s="286">
        <f>700+10000+18000</f>
        <v>28700</v>
      </c>
      <c r="F82" s="87">
        <v>19605.89</v>
      </c>
      <c r="G82" s="25">
        <f t="shared" si="6"/>
        <v>92.69600023450715</v>
      </c>
      <c r="H82" s="233">
        <f t="shared" si="3"/>
        <v>68.3132055749129</v>
      </c>
      <c r="I82"/>
      <c r="J82"/>
      <c r="K82"/>
      <c r="L82"/>
    </row>
    <row r="83" spans="1:12" s="86" customFormat="1" ht="15">
      <c r="A83" s="120">
        <v>37</v>
      </c>
      <c r="B83" s="121" t="s">
        <v>104</v>
      </c>
      <c r="C83" s="122">
        <f>SUM(C84)</f>
        <v>146206.91</v>
      </c>
      <c r="D83" s="122">
        <f>SUM(D84)</f>
        <v>0</v>
      </c>
      <c r="E83" s="122">
        <f>SUM(E84)</f>
        <v>147000</v>
      </c>
      <c r="F83" s="122">
        <f>SUM(F84)</f>
        <v>134778.92</v>
      </c>
      <c r="G83" s="109">
        <f t="shared" si="6"/>
        <v>92.183686803859</v>
      </c>
      <c r="H83" s="256">
        <f t="shared" si="3"/>
        <v>91.68634013605444</v>
      </c>
      <c r="I83"/>
      <c r="J83"/>
      <c r="K83"/>
      <c r="L83"/>
    </row>
    <row r="84" spans="1:12" s="86" customFormat="1" ht="30">
      <c r="A84" s="117">
        <v>372</v>
      </c>
      <c r="B84" s="118" t="s">
        <v>105</v>
      </c>
      <c r="C84" s="119">
        <f>SUM(C85:C86)</f>
        <v>146206.91</v>
      </c>
      <c r="D84" s="119">
        <f>SUM(D85:D86)</f>
        <v>0</v>
      </c>
      <c r="E84" s="119">
        <f>SUM(E85:E86)</f>
        <v>147000</v>
      </c>
      <c r="F84" s="119">
        <f>SUM(F85:F86)</f>
        <v>134778.92</v>
      </c>
      <c r="G84" s="113">
        <f t="shared" si="6"/>
        <v>92.183686803859</v>
      </c>
      <c r="H84" s="232">
        <f t="shared" si="3"/>
        <v>91.68634013605444</v>
      </c>
      <c r="I84"/>
      <c r="J84"/>
      <c r="K84"/>
      <c r="L84"/>
    </row>
    <row r="85" spans="1:12" s="86" customFormat="1" ht="15">
      <c r="A85" s="90">
        <v>3721</v>
      </c>
      <c r="B85" s="93" t="s">
        <v>116</v>
      </c>
      <c r="C85" s="87">
        <v>0</v>
      </c>
      <c r="D85" s="87">
        <v>0</v>
      </c>
      <c r="E85" s="87">
        <v>0</v>
      </c>
      <c r="F85" s="89">
        <v>0</v>
      </c>
      <c r="G85" s="25">
        <v>0</v>
      </c>
      <c r="H85" s="233">
        <v>0</v>
      </c>
      <c r="I85"/>
      <c r="J85"/>
      <c r="K85"/>
      <c r="L85"/>
    </row>
    <row r="86" spans="1:12" s="86" customFormat="1" ht="15">
      <c r="A86" s="90">
        <v>3722</v>
      </c>
      <c r="B86" s="93" t="s">
        <v>106</v>
      </c>
      <c r="C86" s="87">
        <v>146206.91</v>
      </c>
      <c r="D86" s="87">
        <v>0</v>
      </c>
      <c r="E86" s="286">
        <v>147000</v>
      </c>
      <c r="F86" s="87">
        <v>134778.92</v>
      </c>
      <c r="G86" s="25">
        <f t="shared" si="6"/>
        <v>92.183686803859</v>
      </c>
      <c r="H86" s="233">
        <f t="shared" si="3"/>
        <v>91.68634013605444</v>
      </c>
      <c r="I86"/>
      <c r="J86"/>
      <c r="K86"/>
      <c r="L86"/>
    </row>
    <row r="87" spans="1:12" s="86" customFormat="1" ht="15">
      <c r="A87" s="162">
        <v>38</v>
      </c>
      <c r="B87" s="163" t="s">
        <v>123</v>
      </c>
      <c r="C87" s="122">
        <f>SUM(C88)</f>
        <v>0</v>
      </c>
      <c r="D87" s="123"/>
      <c r="E87" s="123">
        <v>0</v>
      </c>
      <c r="F87" s="123">
        <v>0</v>
      </c>
      <c r="G87" s="109">
        <v>0</v>
      </c>
      <c r="H87" s="256">
        <v>0</v>
      </c>
      <c r="I87"/>
      <c r="J87"/>
      <c r="K87"/>
      <c r="L87"/>
    </row>
    <row r="88" spans="1:12" s="86" customFormat="1" ht="15">
      <c r="A88" s="90">
        <v>3811</v>
      </c>
      <c r="B88" s="93" t="s">
        <v>122</v>
      </c>
      <c r="C88" s="87">
        <v>0</v>
      </c>
      <c r="D88" s="87">
        <v>0</v>
      </c>
      <c r="E88" s="87">
        <v>0</v>
      </c>
      <c r="F88" s="87">
        <v>0</v>
      </c>
      <c r="G88" s="25">
        <v>0</v>
      </c>
      <c r="H88" s="233">
        <v>0</v>
      </c>
      <c r="I88"/>
      <c r="J88"/>
      <c r="K88"/>
      <c r="L88"/>
    </row>
    <row r="89" spans="1:12" s="86" customFormat="1" ht="21" customHeight="1">
      <c r="A89" s="120">
        <v>4</v>
      </c>
      <c r="B89" s="121" t="s">
        <v>113</v>
      </c>
      <c r="C89" s="122">
        <f>SUM(C90)</f>
        <v>204239.68000000002</v>
      </c>
      <c r="D89" s="122">
        <f>SUM(D90)</f>
        <v>258200</v>
      </c>
      <c r="E89" s="122">
        <f>SUM(E90)</f>
        <v>256200</v>
      </c>
      <c r="F89" s="122">
        <f>SUM(F90)</f>
        <v>259928.14</v>
      </c>
      <c r="G89" s="109">
        <f t="shared" si="6"/>
        <v>127.2662295593099</v>
      </c>
      <c r="H89" s="256">
        <f t="shared" si="3"/>
        <v>101.45516783762687</v>
      </c>
      <c r="I89"/>
      <c r="J89"/>
      <c r="K89"/>
      <c r="L89"/>
    </row>
    <row r="90" spans="1:12" s="88" customFormat="1" ht="21" customHeight="1">
      <c r="A90" s="120">
        <v>42</v>
      </c>
      <c r="B90" s="121" t="s">
        <v>19</v>
      </c>
      <c r="C90" s="122">
        <f>SUM(C91,C94,)</f>
        <v>204239.68000000002</v>
      </c>
      <c r="D90" s="122">
        <f>SUM(D91,D94,)</f>
        <v>258200</v>
      </c>
      <c r="E90" s="122">
        <f>SUM(E91,E94,)</f>
        <v>256200</v>
      </c>
      <c r="F90" s="122">
        <f>SUM(F91,F94,)</f>
        <v>259928.14</v>
      </c>
      <c r="G90" s="109">
        <f t="shared" si="6"/>
        <v>127.2662295593099</v>
      </c>
      <c r="H90" s="256">
        <f t="shared" si="3"/>
        <v>101.45516783762687</v>
      </c>
      <c r="I90"/>
      <c r="J90"/>
      <c r="K90"/>
      <c r="L90"/>
    </row>
    <row r="91" spans="1:12" s="88" customFormat="1" ht="15">
      <c r="A91" s="117">
        <v>422</v>
      </c>
      <c r="B91" s="118" t="s">
        <v>18</v>
      </c>
      <c r="C91" s="119">
        <f>SUM(C92:C92,)</f>
        <v>34265.26</v>
      </c>
      <c r="D91" s="119">
        <f>SUM(D92:D92,)</f>
        <v>89500</v>
      </c>
      <c r="E91" s="119">
        <f>SUM(E92:E92,)</f>
        <v>87500</v>
      </c>
      <c r="F91" s="119">
        <f>SUM(F92:F93,)</f>
        <v>103135.58</v>
      </c>
      <c r="G91" s="113">
        <f t="shared" si="6"/>
        <v>300.9916749500806</v>
      </c>
      <c r="H91" s="232">
        <f t="shared" si="3"/>
        <v>117.8692342857143</v>
      </c>
      <c r="I91"/>
      <c r="J91"/>
      <c r="K91"/>
      <c r="L91"/>
    </row>
    <row r="92" spans="1:12" s="86" customFormat="1" ht="15">
      <c r="A92" s="90" t="s">
        <v>83</v>
      </c>
      <c r="B92" s="93" t="s">
        <v>84</v>
      </c>
      <c r="C92" s="87">
        <v>34265.26</v>
      </c>
      <c r="D92" s="170">
        <f>31500+28000+8000+22000</f>
        <v>89500</v>
      </c>
      <c r="E92" s="87">
        <f>15000+16500+26000+8000+22000</f>
        <v>87500</v>
      </c>
      <c r="F92" s="87">
        <v>24906.38</v>
      </c>
      <c r="G92" s="25">
        <f t="shared" si="6"/>
        <v>72.68697216948011</v>
      </c>
      <c r="H92" s="233">
        <f t="shared" si="3"/>
        <v>28.464434285714287</v>
      </c>
      <c r="I92"/>
      <c r="J92"/>
      <c r="K92"/>
      <c r="L92"/>
    </row>
    <row r="93" spans="1:12" s="86" customFormat="1" ht="15">
      <c r="A93" s="90">
        <v>4223</v>
      </c>
      <c r="B93" s="93" t="s">
        <v>242</v>
      </c>
      <c r="C93" s="87">
        <v>0</v>
      </c>
      <c r="D93" s="170"/>
      <c r="E93" s="87">
        <v>0</v>
      </c>
      <c r="F93" s="87">
        <v>78229.2</v>
      </c>
      <c r="G93" s="25" t="e">
        <f t="shared" si="6"/>
        <v>#DIV/0!</v>
      </c>
      <c r="H93" s="233" t="e">
        <f t="shared" si="3"/>
        <v>#DIV/0!</v>
      </c>
      <c r="I93"/>
      <c r="J93"/>
      <c r="K93"/>
      <c r="L93"/>
    </row>
    <row r="94" spans="1:12" s="86" customFormat="1" ht="15">
      <c r="A94" s="117">
        <v>424</v>
      </c>
      <c r="B94" s="118" t="s">
        <v>102</v>
      </c>
      <c r="C94" s="119">
        <f>SUM(C95)</f>
        <v>169974.42</v>
      </c>
      <c r="D94" s="119">
        <f>SUM(D95)</f>
        <v>168700</v>
      </c>
      <c r="E94" s="119">
        <f>SUM(E95)</f>
        <v>168700</v>
      </c>
      <c r="F94" s="119">
        <f>SUM(F95)</f>
        <v>156792.56</v>
      </c>
      <c r="G94" s="113">
        <f>F94/C94*100</f>
        <v>92.24479777604182</v>
      </c>
      <c r="H94" s="232">
        <f>F94/E94*100</f>
        <v>92.94164789567279</v>
      </c>
      <c r="I94"/>
      <c r="J94"/>
      <c r="K94"/>
      <c r="L94"/>
    </row>
    <row r="95" spans="1:12" s="86" customFormat="1" ht="15">
      <c r="A95" s="274">
        <v>4241</v>
      </c>
      <c r="B95" s="275" t="s">
        <v>103</v>
      </c>
      <c r="C95" s="276">
        <v>169974.42</v>
      </c>
      <c r="D95" s="277">
        <f>160000+2400+6300</f>
        <v>168700</v>
      </c>
      <c r="E95" s="277">
        <f>160000+2400+6300</f>
        <v>168700</v>
      </c>
      <c r="F95" s="276">
        <v>156792.56</v>
      </c>
      <c r="G95" s="242">
        <f t="shared" si="6"/>
        <v>92.24479777604182</v>
      </c>
      <c r="H95" s="243">
        <f t="shared" si="3"/>
        <v>92.94164789567279</v>
      </c>
      <c r="I95"/>
      <c r="J95"/>
      <c r="K95"/>
      <c r="L95"/>
    </row>
    <row r="96" spans="1:12" s="104" customFormat="1" ht="19.5">
      <c r="A96" s="438" t="s">
        <v>89</v>
      </c>
      <c r="B96" s="439"/>
      <c r="C96" s="190">
        <f>SUM(C37,C45,C78,C83,C89,C87)</f>
        <v>8050498.1899999995</v>
      </c>
      <c r="D96" s="190">
        <f>SUM(D37,D45,D78,D83,D89)</f>
        <v>7722985</v>
      </c>
      <c r="E96" s="190">
        <f>SUM(E37,E45,E78,E83,E89)</f>
        <v>8497805</v>
      </c>
      <c r="F96" s="190">
        <f>SUM(F37,F45,F78,F83,F89)</f>
        <v>8640871.33</v>
      </c>
      <c r="G96" s="6">
        <f t="shared" si="6"/>
        <v>107.33337398588993</v>
      </c>
      <c r="H96" s="6">
        <f t="shared" si="3"/>
        <v>101.68356805080843</v>
      </c>
      <c r="I96"/>
      <c r="J96"/>
      <c r="K96"/>
      <c r="L96"/>
    </row>
    <row r="97" spans="1:12" s="60" customFormat="1" ht="20.25">
      <c r="A97" s="91"/>
      <c r="B97" s="91"/>
      <c r="C97" s="91"/>
      <c r="D97" s="91"/>
      <c r="E97" s="91"/>
      <c r="F97" s="91"/>
      <c r="G97" s="91"/>
      <c r="H97" s="92"/>
      <c r="I97"/>
      <c r="J97"/>
      <c r="K97"/>
      <c r="L97"/>
    </row>
    <row r="98" spans="1:12" s="60" customFormat="1" ht="20.25">
      <c r="A98" s="33"/>
      <c r="B98" s="33"/>
      <c r="C98" s="33"/>
      <c r="D98" s="33"/>
      <c r="E98" s="33"/>
      <c r="F98" s="33"/>
      <c r="G98" s="33"/>
      <c r="H98" s="21"/>
      <c r="I98"/>
      <c r="J98"/>
      <c r="K98"/>
      <c r="L98"/>
    </row>
    <row r="99" spans="1:12" s="60" customFormat="1" ht="20.25">
      <c r="A99" s="33"/>
      <c r="B99" s="33"/>
      <c r="C99" s="33"/>
      <c r="D99" s="33"/>
      <c r="E99" s="33"/>
      <c r="F99" s="33"/>
      <c r="G99" s="33"/>
      <c r="H99" s="21"/>
      <c r="I99"/>
      <c r="J99"/>
      <c r="K99"/>
      <c r="L99"/>
    </row>
    <row r="100" spans="1:12" s="60" customFormat="1" ht="20.25">
      <c r="A100" s="33"/>
      <c r="B100" s="33"/>
      <c r="C100" s="33"/>
      <c r="D100" s="33"/>
      <c r="E100" s="33"/>
      <c r="F100" s="33"/>
      <c r="G100" s="33"/>
      <c r="H100" s="21"/>
      <c r="I100"/>
      <c r="J100"/>
      <c r="K100"/>
      <c r="L100"/>
    </row>
    <row r="101" spans="1:12" s="60" customFormat="1" ht="20.25">
      <c r="A101" s="33"/>
      <c r="B101" s="33"/>
      <c r="C101" s="33"/>
      <c r="D101" s="33"/>
      <c r="E101" s="33"/>
      <c r="F101" s="33"/>
      <c r="G101" s="33"/>
      <c r="H101" s="21"/>
      <c r="I101"/>
      <c r="J101"/>
      <c r="K101"/>
      <c r="L101"/>
    </row>
    <row r="102" spans="1:12" s="60" customFormat="1" ht="20.25">
      <c r="A102" s="33"/>
      <c r="B102" s="33"/>
      <c r="C102" s="33"/>
      <c r="D102" s="33"/>
      <c r="E102" s="33"/>
      <c r="F102" s="33"/>
      <c r="G102" s="33"/>
      <c r="H102" s="21"/>
      <c r="I102"/>
      <c r="J102"/>
      <c r="K102"/>
      <c r="L102"/>
    </row>
    <row r="103" spans="1:12" s="60" customFormat="1" ht="20.25">
      <c r="A103" s="33"/>
      <c r="B103" s="33"/>
      <c r="C103" s="33"/>
      <c r="D103" s="33"/>
      <c r="E103" s="33"/>
      <c r="F103" s="33"/>
      <c r="G103" s="33"/>
      <c r="H103" s="21"/>
      <c r="I103"/>
      <c r="J103"/>
      <c r="K103"/>
      <c r="L103"/>
    </row>
    <row r="104" spans="1:12" s="60" customFormat="1" ht="20.25">
      <c r="A104" s="33"/>
      <c r="B104" s="33"/>
      <c r="C104" s="33"/>
      <c r="D104" s="33"/>
      <c r="E104" s="33"/>
      <c r="F104" s="33"/>
      <c r="G104" s="33"/>
      <c r="H104" s="21"/>
      <c r="I104"/>
      <c r="J104"/>
      <c r="K104"/>
      <c r="L104"/>
    </row>
    <row r="105" spans="1:12" s="60" customFormat="1" ht="20.25">
      <c r="A105" s="33"/>
      <c r="B105" s="33"/>
      <c r="C105" s="33"/>
      <c r="D105" s="33"/>
      <c r="E105" s="33"/>
      <c r="F105" s="33"/>
      <c r="G105" s="33"/>
      <c r="H105" s="21"/>
      <c r="I105"/>
      <c r="J105"/>
      <c r="K105"/>
      <c r="L105"/>
    </row>
    <row r="106" spans="1:12" s="60" customFormat="1" ht="20.25">
      <c r="A106" s="33"/>
      <c r="B106" s="33"/>
      <c r="C106" s="33"/>
      <c r="D106" s="33"/>
      <c r="E106" s="33"/>
      <c r="F106" s="33"/>
      <c r="G106" s="33"/>
      <c r="H106" s="21"/>
      <c r="I106"/>
      <c r="J106"/>
      <c r="K106"/>
      <c r="L106"/>
    </row>
    <row r="107" spans="1:12" s="60" customFormat="1" ht="20.25">
      <c r="A107" s="33"/>
      <c r="B107" s="33"/>
      <c r="C107" s="33"/>
      <c r="D107" s="33"/>
      <c r="E107" s="33"/>
      <c r="F107" s="33"/>
      <c r="G107" s="33"/>
      <c r="H107" s="21"/>
      <c r="I107"/>
      <c r="J107"/>
      <c r="K107"/>
      <c r="L107"/>
    </row>
    <row r="110" ht="15">
      <c r="D110" s="30"/>
    </row>
  </sheetData>
  <sheetProtection/>
  <mergeCells count="25">
    <mergeCell ref="A1:G1"/>
    <mergeCell ref="A5:G5"/>
    <mergeCell ref="A7:A8"/>
    <mergeCell ref="B7:B8"/>
    <mergeCell ref="C7:C8"/>
    <mergeCell ref="E7:E8"/>
    <mergeCell ref="A2:G2"/>
    <mergeCell ref="B33:B34"/>
    <mergeCell ref="C33:C34"/>
    <mergeCell ref="D33:D34"/>
    <mergeCell ref="A24:B24"/>
    <mergeCell ref="H7:H8"/>
    <mergeCell ref="A9:B9"/>
    <mergeCell ref="A32:G32"/>
    <mergeCell ref="A28:B28"/>
    <mergeCell ref="A96:B96"/>
    <mergeCell ref="A3:H3"/>
    <mergeCell ref="E33:E34"/>
    <mergeCell ref="F33:F34"/>
    <mergeCell ref="F7:F8"/>
    <mergeCell ref="G7:G8"/>
    <mergeCell ref="G33:G34"/>
    <mergeCell ref="H33:H34"/>
    <mergeCell ref="A35:B35"/>
    <mergeCell ref="A33:A34"/>
  </mergeCells>
  <printOptions/>
  <pageMargins left="0.7" right="0.7" top="0.75" bottom="0.75" header="0.3" footer="0.3"/>
  <pageSetup fitToHeight="4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1"/>
  <sheetViews>
    <sheetView tabSelected="1" view="pageBreakPreview" zoomScale="115" zoomScaleNormal="85" zoomScaleSheetLayoutView="115" workbookViewId="0" topLeftCell="A590">
      <selection activeCell="H565" sqref="H565"/>
    </sheetView>
  </sheetViews>
  <sheetFormatPr defaultColWidth="9.140625" defaultRowHeight="12.75"/>
  <cols>
    <col min="1" max="1" width="11.57421875" style="2" customWidth="1"/>
    <col min="2" max="2" width="44.7109375" style="2" customWidth="1"/>
    <col min="3" max="3" width="17.7109375" style="2" customWidth="1"/>
    <col min="4" max="4" width="17.7109375" style="10" hidden="1" customWidth="1"/>
    <col min="5" max="7" width="17.7109375" style="10" customWidth="1"/>
    <col min="8" max="13" width="15.140625" style="2" customWidth="1"/>
    <col min="14" max="14" width="16.7109375" style="2" hidden="1" customWidth="1"/>
    <col min="15" max="15" width="16.421875" style="2" hidden="1" customWidth="1"/>
    <col min="16" max="16" width="12.57421875" style="2" hidden="1" customWidth="1"/>
    <col min="17" max="17" width="15.140625" style="2" customWidth="1"/>
    <col min="18" max="16384" width="9.140625" style="2" customWidth="1"/>
  </cols>
  <sheetData>
    <row r="1" spans="1:8" ht="49.5" customHeight="1">
      <c r="A1" s="453" t="s">
        <v>117</v>
      </c>
      <c r="B1" s="453"/>
      <c r="C1" s="453"/>
      <c r="D1" s="453"/>
      <c r="E1" s="453"/>
      <c r="F1" s="453"/>
      <c r="G1" s="453"/>
      <c r="H1" s="1"/>
    </row>
    <row r="3" spans="1:8" ht="20.25">
      <c r="A3" s="501" t="s">
        <v>25</v>
      </c>
      <c r="B3" s="501"/>
      <c r="C3" s="501"/>
      <c r="D3" s="501"/>
      <c r="E3" s="501"/>
      <c r="F3" s="501"/>
      <c r="G3" s="501"/>
      <c r="H3" s="345"/>
    </row>
    <row r="5" spans="1:7" s="4" customFormat="1" ht="15">
      <c r="A5" s="3" t="s">
        <v>245</v>
      </c>
      <c r="D5" s="5"/>
      <c r="E5" s="5"/>
      <c r="F5" s="5"/>
      <c r="G5" s="5"/>
    </row>
    <row r="6" spans="1:8" ht="15.75" customHeight="1">
      <c r="A6" s="444" t="s">
        <v>26</v>
      </c>
      <c r="B6" s="446" t="s">
        <v>0</v>
      </c>
      <c r="C6" s="446" t="s">
        <v>235</v>
      </c>
      <c r="D6" s="441" t="s">
        <v>228</v>
      </c>
      <c r="E6" s="441" t="s">
        <v>226</v>
      </c>
      <c r="F6" s="441" t="s">
        <v>241</v>
      </c>
      <c r="G6" s="441" t="s">
        <v>50</v>
      </c>
      <c r="H6" s="441" t="s">
        <v>50</v>
      </c>
    </row>
    <row r="7" spans="1:8" ht="31.5" customHeight="1">
      <c r="A7" s="445"/>
      <c r="B7" s="447"/>
      <c r="C7" s="447"/>
      <c r="D7" s="442"/>
      <c r="E7" s="442"/>
      <c r="F7" s="442"/>
      <c r="G7" s="442"/>
      <c r="H7" s="442"/>
    </row>
    <row r="8" spans="1:8" s="60" customFormat="1" ht="12">
      <c r="A8" s="450">
        <v>1</v>
      </c>
      <c r="B8" s="450"/>
      <c r="C8" s="58">
        <v>2</v>
      </c>
      <c r="D8" s="59">
        <v>3</v>
      </c>
      <c r="E8" s="59">
        <v>4</v>
      </c>
      <c r="F8" s="59">
        <v>5</v>
      </c>
      <c r="G8" s="59" t="s">
        <v>51</v>
      </c>
      <c r="H8" s="59" t="s">
        <v>52</v>
      </c>
    </row>
    <row r="9" spans="1:8" ht="30">
      <c r="A9" s="130">
        <v>67</v>
      </c>
      <c r="B9" s="114" t="s">
        <v>29</v>
      </c>
      <c r="C9" s="112">
        <f>SUM(C10,C11)</f>
        <v>1171367</v>
      </c>
      <c r="D9" s="112">
        <f>SUM(D10,D11)</f>
        <v>925620</v>
      </c>
      <c r="E9" s="112">
        <f>SUM(E10,E11)</f>
        <v>1143290</v>
      </c>
      <c r="F9" s="112">
        <f>SUM(F10,F11)</f>
        <v>1134827.97</v>
      </c>
      <c r="G9" s="112">
        <f>F9/C9*100</f>
        <v>96.88065055614508</v>
      </c>
      <c r="H9" s="129">
        <f>F9/E9*100</f>
        <v>99.25985270578768</v>
      </c>
    </row>
    <row r="10" spans="1:8" ht="30">
      <c r="A10" s="16">
        <v>6711</v>
      </c>
      <c r="B10" s="17" t="s">
        <v>30</v>
      </c>
      <c r="C10" s="66">
        <v>1077050</v>
      </c>
      <c r="D10" s="66">
        <v>925620</v>
      </c>
      <c r="E10" s="66">
        <v>1111790</v>
      </c>
      <c r="F10" s="18">
        <v>1049455.02</v>
      </c>
      <c r="G10" s="47">
        <f>F10/C10*100</f>
        <v>97.43791096049395</v>
      </c>
      <c r="H10" s="50">
        <f>F10/E10*100</f>
        <v>94.39327750744295</v>
      </c>
    </row>
    <row r="11" spans="1:8" ht="45">
      <c r="A11" s="51">
        <v>6712</v>
      </c>
      <c r="B11" s="48" t="s">
        <v>31</v>
      </c>
      <c r="C11" s="66">
        <v>94317</v>
      </c>
      <c r="D11" s="18">
        <v>0</v>
      </c>
      <c r="E11" s="18">
        <v>31500</v>
      </c>
      <c r="F11" s="18">
        <v>85372.95</v>
      </c>
      <c r="G11" s="110">
        <v>0</v>
      </c>
      <c r="H11" s="111">
        <v>0</v>
      </c>
    </row>
    <row r="12" spans="1:8" ht="21.75" customHeight="1">
      <c r="A12" s="502" t="s">
        <v>210</v>
      </c>
      <c r="B12" s="502"/>
      <c r="C12" s="131">
        <f>C9</f>
        <v>1171367</v>
      </c>
      <c r="D12" s="131">
        <f>D9</f>
        <v>925620</v>
      </c>
      <c r="E12" s="131">
        <f>E9</f>
        <v>1143290</v>
      </c>
      <c r="F12" s="131">
        <f>F9</f>
        <v>1134827.97</v>
      </c>
      <c r="G12" s="131">
        <f>F12/C12*100</f>
        <v>96.88065055614508</v>
      </c>
      <c r="H12" s="131">
        <f>F12/E12*100</f>
        <v>99.25985270578768</v>
      </c>
    </row>
    <row r="13" spans="1:8" s="172" customFormat="1" ht="17.25" customHeight="1">
      <c r="A13" s="171"/>
      <c r="B13" s="171"/>
      <c r="C13" s="13"/>
      <c r="D13" s="13"/>
      <c r="E13" s="13"/>
      <c r="F13" s="13"/>
      <c r="G13" s="13"/>
      <c r="H13" s="13"/>
    </row>
    <row r="14" spans="1:7" ht="15">
      <c r="A14" s="54"/>
      <c r="B14" s="54"/>
      <c r="C14" s="54"/>
      <c r="D14" s="8"/>
      <c r="E14" s="8"/>
      <c r="F14" s="8"/>
      <c r="G14" s="8"/>
    </row>
    <row r="15" spans="1:7" ht="15">
      <c r="A15" s="3" t="s">
        <v>165</v>
      </c>
      <c r="B15" s="4"/>
      <c r="C15" s="4"/>
      <c r="D15" s="5"/>
      <c r="E15" s="5"/>
      <c r="F15" s="5"/>
      <c r="G15" s="5"/>
    </row>
    <row r="16" spans="1:8" ht="15" customHeight="1">
      <c r="A16" s="444" t="s">
        <v>26</v>
      </c>
      <c r="B16" s="446" t="s">
        <v>0</v>
      </c>
      <c r="C16" s="446" t="s">
        <v>235</v>
      </c>
      <c r="D16" s="441" t="s">
        <v>132</v>
      </c>
      <c r="E16" s="441" t="s">
        <v>226</v>
      </c>
      <c r="F16" s="441" t="s">
        <v>244</v>
      </c>
      <c r="G16" s="441" t="s">
        <v>50</v>
      </c>
      <c r="H16" s="441" t="s">
        <v>50</v>
      </c>
    </row>
    <row r="17" spans="1:8" ht="30" customHeight="1">
      <c r="A17" s="445"/>
      <c r="B17" s="447"/>
      <c r="C17" s="447"/>
      <c r="D17" s="442"/>
      <c r="E17" s="442"/>
      <c r="F17" s="442"/>
      <c r="G17" s="442"/>
      <c r="H17" s="442"/>
    </row>
    <row r="18" spans="1:8" s="60" customFormat="1" ht="12">
      <c r="A18" s="460">
        <v>1</v>
      </c>
      <c r="B18" s="461"/>
      <c r="C18" s="58">
        <v>2</v>
      </c>
      <c r="D18" s="59">
        <v>3</v>
      </c>
      <c r="E18" s="59">
        <v>4</v>
      </c>
      <c r="F18" s="59">
        <v>5</v>
      </c>
      <c r="G18" s="59" t="s">
        <v>51</v>
      </c>
      <c r="H18" s="59" t="s">
        <v>52</v>
      </c>
    </row>
    <row r="19" spans="1:8" ht="30">
      <c r="A19" s="332">
        <v>636</v>
      </c>
      <c r="B19" s="333" t="s">
        <v>37</v>
      </c>
      <c r="C19" s="334">
        <f>SUM(C20:C21)</f>
        <v>6861652</v>
      </c>
      <c r="D19" s="334">
        <f>SUM(D20:D21)</f>
        <v>6410000</v>
      </c>
      <c r="E19" s="334">
        <f>SUM(E20:E21)</f>
        <v>6992200</v>
      </c>
      <c r="F19" s="334">
        <f>SUM(F20:F21)</f>
        <v>7297575.91</v>
      </c>
      <c r="G19" s="316">
        <f>F19/C19*100</f>
        <v>106.35304603031457</v>
      </c>
      <c r="H19" s="317">
        <f>F19/E19*100</f>
        <v>104.36737950859529</v>
      </c>
    </row>
    <row r="20" spans="1:8" ht="30">
      <c r="A20" s="16">
        <v>6361</v>
      </c>
      <c r="B20" s="17" t="s">
        <v>127</v>
      </c>
      <c r="C20" s="66">
        <v>6698256</v>
      </c>
      <c r="D20" s="18">
        <v>6250000</v>
      </c>
      <c r="E20" s="18">
        <v>6832200</v>
      </c>
      <c r="F20" s="18">
        <f>7147503.13-340</f>
        <v>7147163.13</v>
      </c>
      <c r="G20" s="25">
        <f>F20/C20*100</f>
        <v>106.70185089969688</v>
      </c>
      <c r="H20" s="233">
        <f>F20/E20*100</f>
        <v>104.60998111881969</v>
      </c>
    </row>
    <row r="21" spans="1:8" ht="30">
      <c r="A21" s="238">
        <v>6362</v>
      </c>
      <c r="B21" s="239" t="s">
        <v>107</v>
      </c>
      <c r="C21" s="240">
        <v>163396</v>
      </c>
      <c r="D21" s="241">
        <v>160000</v>
      </c>
      <c r="E21" s="241">
        <v>160000</v>
      </c>
      <c r="F21" s="241">
        <v>150412.78</v>
      </c>
      <c r="G21" s="242">
        <f>F21/C21*100</f>
        <v>92.05413841220104</v>
      </c>
      <c r="H21" s="243">
        <f>F21/E21*100</f>
        <v>94.0079875</v>
      </c>
    </row>
    <row r="22" spans="1:8" ht="15.75" customHeight="1">
      <c r="A22" s="496" t="s">
        <v>211</v>
      </c>
      <c r="B22" s="497"/>
      <c r="C22" s="131">
        <f>C19</f>
        <v>6861652</v>
      </c>
      <c r="D22" s="131">
        <f>D19</f>
        <v>6410000</v>
      </c>
      <c r="E22" s="131">
        <f>E19</f>
        <v>6992200</v>
      </c>
      <c r="F22" s="131">
        <f>F19</f>
        <v>7297575.91</v>
      </c>
      <c r="G22" s="131">
        <f>F22/C22*100</f>
        <v>106.35304603031457</v>
      </c>
      <c r="H22" s="131">
        <f>F22/E22*100</f>
        <v>104.36737950859529</v>
      </c>
    </row>
    <row r="23" spans="1:8" s="172" customFormat="1" ht="15.75" customHeight="1">
      <c r="A23" s="171"/>
      <c r="B23" s="171"/>
      <c r="C23" s="13"/>
      <c r="D23" s="13"/>
      <c r="E23" s="13"/>
      <c r="F23" s="13"/>
      <c r="G23" s="13"/>
      <c r="H23" s="13"/>
    </row>
    <row r="24" spans="1:7" ht="15">
      <c r="A24" s="54"/>
      <c r="B24" s="54"/>
      <c r="C24" s="54"/>
      <c r="D24" s="8"/>
      <c r="E24" s="8"/>
      <c r="F24" s="8"/>
      <c r="G24" s="8"/>
    </row>
    <row r="25" spans="1:7" ht="15">
      <c r="A25" s="3" t="s">
        <v>205</v>
      </c>
      <c r="B25" s="4"/>
      <c r="C25" s="4"/>
      <c r="D25" s="5"/>
      <c r="E25" s="5"/>
      <c r="F25" s="5"/>
      <c r="G25" s="5"/>
    </row>
    <row r="26" spans="1:8" ht="15" customHeight="1">
      <c r="A26" s="444" t="s">
        <v>26</v>
      </c>
      <c r="B26" s="446" t="s">
        <v>0</v>
      </c>
      <c r="C26" s="446" t="s">
        <v>235</v>
      </c>
      <c r="D26" s="441" t="s">
        <v>132</v>
      </c>
      <c r="E26" s="441" t="s">
        <v>226</v>
      </c>
      <c r="F26" s="441" t="s">
        <v>244</v>
      </c>
      <c r="G26" s="441" t="s">
        <v>50</v>
      </c>
      <c r="H26" s="441" t="s">
        <v>50</v>
      </c>
    </row>
    <row r="27" spans="1:8" ht="37.5" customHeight="1">
      <c r="A27" s="445"/>
      <c r="B27" s="447"/>
      <c r="C27" s="447"/>
      <c r="D27" s="442"/>
      <c r="E27" s="442"/>
      <c r="F27" s="442"/>
      <c r="G27" s="442"/>
      <c r="H27" s="442"/>
    </row>
    <row r="28" spans="1:15" s="62" customFormat="1" ht="14.25">
      <c r="A28" s="450">
        <v>1</v>
      </c>
      <c r="B28" s="450"/>
      <c r="C28" s="58">
        <v>2</v>
      </c>
      <c r="D28" s="59">
        <v>3</v>
      </c>
      <c r="E28" s="59">
        <v>4</v>
      </c>
      <c r="F28" s="59">
        <v>5</v>
      </c>
      <c r="G28" s="59" t="s">
        <v>51</v>
      </c>
      <c r="H28" s="59" t="s">
        <v>52</v>
      </c>
      <c r="I28" s="71"/>
      <c r="J28" s="71"/>
      <c r="K28" s="55"/>
      <c r="L28" s="56"/>
      <c r="M28" s="56"/>
      <c r="N28" s="61" t="s">
        <v>1</v>
      </c>
      <c r="O28" s="61" t="s">
        <v>2</v>
      </c>
    </row>
    <row r="29" spans="1:15" s="11" customFormat="1" ht="15">
      <c r="A29" s="314">
        <v>641</v>
      </c>
      <c r="B29" s="315" t="s">
        <v>141</v>
      </c>
      <c r="C29" s="316">
        <f>C30</f>
        <v>10</v>
      </c>
      <c r="D29" s="316">
        <f>D30</f>
        <v>5</v>
      </c>
      <c r="E29" s="316">
        <f>E30</f>
        <v>5</v>
      </c>
      <c r="F29" s="316">
        <f>F30</f>
        <v>0.53</v>
      </c>
      <c r="G29" s="316">
        <f aca="true" t="shared" si="0" ref="G29:G35">F29/C29*100</f>
        <v>5.300000000000001</v>
      </c>
      <c r="H29" s="317">
        <f aca="true" t="shared" si="1" ref="H29:H35">F29/E29*100</f>
        <v>10.600000000000001</v>
      </c>
      <c r="I29" s="8"/>
      <c r="J29" s="8"/>
      <c r="K29" s="13"/>
      <c r="L29" s="13"/>
      <c r="M29" s="8"/>
      <c r="N29" s="12"/>
      <c r="O29" s="12"/>
    </row>
    <row r="30" spans="1:15" s="15" customFormat="1" ht="15">
      <c r="A30" s="16">
        <v>64132</v>
      </c>
      <c r="B30" s="17" t="s">
        <v>142</v>
      </c>
      <c r="C30" s="66">
        <v>10</v>
      </c>
      <c r="D30" s="18">
        <v>5</v>
      </c>
      <c r="E30" s="199">
        <v>5</v>
      </c>
      <c r="F30" s="18">
        <v>0.53</v>
      </c>
      <c r="G30" s="25">
        <f t="shared" si="0"/>
        <v>5.300000000000001</v>
      </c>
      <c r="H30" s="233">
        <f>F30/E30*100</f>
        <v>10.600000000000001</v>
      </c>
      <c r="I30" s="8"/>
      <c r="J30" s="8"/>
      <c r="K30" s="13"/>
      <c r="L30" s="13"/>
      <c r="M30" s="8"/>
      <c r="N30" s="14"/>
      <c r="O30" s="14"/>
    </row>
    <row r="31" spans="1:15" s="11" customFormat="1" ht="15">
      <c r="A31" s="140">
        <v>652</v>
      </c>
      <c r="B31" s="116" t="s">
        <v>34</v>
      </c>
      <c r="C31" s="113">
        <f>C32</f>
        <v>2081</v>
      </c>
      <c r="D31" s="113">
        <f>D32</f>
        <v>0</v>
      </c>
      <c r="E31" s="113">
        <f>E32</f>
        <v>0</v>
      </c>
      <c r="F31" s="113">
        <f>F32</f>
        <v>7855</v>
      </c>
      <c r="G31" s="113">
        <f t="shared" si="0"/>
        <v>377.462758289284</v>
      </c>
      <c r="H31" s="232">
        <v>0</v>
      </c>
      <c r="I31" s="8"/>
      <c r="J31" s="8"/>
      <c r="K31" s="13"/>
      <c r="L31" s="13"/>
      <c r="M31" s="8"/>
      <c r="N31" s="12"/>
      <c r="O31" s="12"/>
    </row>
    <row r="32" spans="1:15" s="15" customFormat="1" ht="30">
      <c r="A32" s="16">
        <v>65269</v>
      </c>
      <c r="B32" s="17" t="s">
        <v>91</v>
      </c>
      <c r="C32" s="66">
        <v>2081</v>
      </c>
      <c r="D32" s="66">
        <v>0</v>
      </c>
      <c r="E32" s="66"/>
      <c r="F32" s="66">
        <v>7855</v>
      </c>
      <c r="G32" s="25">
        <f t="shared" si="0"/>
        <v>377.462758289284</v>
      </c>
      <c r="H32" s="233">
        <v>0</v>
      </c>
      <c r="I32" s="8"/>
      <c r="J32" s="8"/>
      <c r="K32" s="13"/>
      <c r="L32" s="13"/>
      <c r="M32" s="8"/>
      <c r="N32" s="14"/>
      <c r="O32" s="14"/>
    </row>
    <row r="33" spans="1:15" s="11" customFormat="1" ht="15">
      <c r="A33" s="140">
        <v>661</v>
      </c>
      <c r="B33" s="116" t="s">
        <v>34</v>
      </c>
      <c r="C33" s="113">
        <f>C34</f>
        <v>3000</v>
      </c>
      <c r="D33" s="113">
        <f>D34</f>
        <v>42000</v>
      </c>
      <c r="E33" s="113">
        <f>E34</f>
        <v>42000</v>
      </c>
      <c r="F33" s="113">
        <f>F34</f>
        <v>29925</v>
      </c>
      <c r="G33" s="113">
        <f t="shared" si="0"/>
        <v>997.5</v>
      </c>
      <c r="H33" s="232">
        <f t="shared" si="1"/>
        <v>71.25</v>
      </c>
      <c r="I33" s="8"/>
      <c r="J33" s="8"/>
      <c r="K33" s="13"/>
      <c r="L33" s="13"/>
      <c r="M33" s="8"/>
      <c r="N33" s="12"/>
      <c r="O33" s="12"/>
    </row>
    <row r="34" spans="1:15" s="15" customFormat="1" ht="15">
      <c r="A34" s="238">
        <v>66151</v>
      </c>
      <c r="B34" s="239" t="s">
        <v>139</v>
      </c>
      <c r="C34" s="240">
        <v>3000</v>
      </c>
      <c r="D34" s="241">
        <v>42000</v>
      </c>
      <c r="E34" s="241">
        <v>42000</v>
      </c>
      <c r="F34" s="241">
        <v>29925</v>
      </c>
      <c r="G34" s="242">
        <f t="shared" si="0"/>
        <v>997.5</v>
      </c>
      <c r="H34" s="243">
        <f t="shared" si="1"/>
        <v>71.25</v>
      </c>
      <c r="I34" s="8"/>
      <c r="J34" s="8"/>
      <c r="K34" s="13"/>
      <c r="L34" s="13"/>
      <c r="M34" s="8"/>
      <c r="N34" s="14"/>
      <c r="O34" s="14"/>
    </row>
    <row r="35" spans="1:16" ht="14.25" customHeight="1">
      <c r="A35" s="496" t="s">
        <v>212</v>
      </c>
      <c r="B35" s="497"/>
      <c r="C35" s="131">
        <f>C33+C29+C31</f>
        <v>5091</v>
      </c>
      <c r="D35" s="131">
        <f>D33+D29+D31</f>
        <v>42005</v>
      </c>
      <c r="E35" s="131">
        <f>E33+E29+E31</f>
        <v>42005</v>
      </c>
      <c r="F35" s="131">
        <f>F33+F29+F31</f>
        <v>37780.53</v>
      </c>
      <c r="G35" s="131">
        <f t="shared" si="0"/>
        <v>742.104301708898</v>
      </c>
      <c r="H35" s="131">
        <f t="shared" si="1"/>
        <v>89.94293536483752</v>
      </c>
      <c r="I35" s="19"/>
      <c r="J35" s="19"/>
      <c r="K35" s="20"/>
      <c r="L35" s="20"/>
      <c r="M35" s="19"/>
      <c r="N35" s="2">
        <v>0</v>
      </c>
      <c r="O35" s="2">
        <v>0</v>
      </c>
      <c r="P35" s="15"/>
    </row>
    <row r="36" spans="1:16" ht="15">
      <c r="A36" s="54"/>
      <c r="B36" s="54"/>
      <c r="C36" s="54"/>
      <c r="D36" s="8"/>
      <c r="E36" s="8"/>
      <c r="F36" s="8"/>
      <c r="G36" s="8"/>
      <c r="I36" s="19"/>
      <c r="J36" s="19"/>
      <c r="K36" s="20"/>
      <c r="L36" s="20"/>
      <c r="M36" s="19"/>
      <c r="N36" s="2">
        <v>0</v>
      </c>
      <c r="O36" s="2">
        <v>0</v>
      </c>
      <c r="P36" s="15"/>
    </row>
    <row r="37" spans="1:16" s="172" customFormat="1" ht="14.25" customHeight="1">
      <c r="A37" s="171"/>
      <c r="B37" s="171"/>
      <c r="C37" s="13"/>
      <c r="D37" s="13"/>
      <c r="E37" s="13"/>
      <c r="F37" s="13"/>
      <c r="G37" s="13"/>
      <c r="H37" s="13"/>
      <c r="I37" s="20"/>
      <c r="J37" s="20"/>
      <c r="K37" s="20"/>
      <c r="L37" s="20"/>
      <c r="M37" s="20"/>
      <c r="P37" s="173"/>
    </row>
    <row r="38" spans="1:7" ht="15">
      <c r="A38" s="3" t="s">
        <v>206</v>
      </c>
      <c r="B38" s="4"/>
      <c r="C38" s="4"/>
      <c r="D38" s="5"/>
      <c r="E38" s="5"/>
      <c r="F38" s="5"/>
      <c r="G38" s="5"/>
    </row>
    <row r="39" spans="1:8" ht="15" customHeight="1">
      <c r="A39" s="444" t="s">
        <v>26</v>
      </c>
      <c r="B39" s="446" t="s">
        <v>0</v>
      </c>
      <c r="C39" s="446" t="s">
        <v>235</v>
      </c>
      <c r="D39" s="441" t="s">
        <v>132</v>
      </c>
      <c r="E39" s="441" t="s">
        <v>226</v>
      </c>
      <c r="F39" s="441" t="s">
        <v>241</v>
      </c>
      <c r="G39" s="441" t="s">
        <v>50</v>
      </c>
      <c r="H39" s="441" t="s">
        <v>50</v>
      </c>
    </row>
    <row r="40" spans="1:8" ht="37.5" customHeight="1">
      <c r="A40" s="445"/>
      <c r="B40" s="447"/>
      <c r="C40" s="447"/>
      <c r="D40" s="442"/>
      <c r="E40" s="442"/>
      <c r="F40" s="442"/>
      <c r="G40" s="442"/>
      <c r="H40" s="442"/>
    </row>
    <row r="41" spans="1:15" s="62" customFormat="1" ht="12">
      <c r="A41" s="450">
        <v>1</v>
      </c>
      <c r="B41" s="450"/>
      <c r="C41" s="58">
        <v>2</v>
      </c>
      <c r="D41" s="59">
        <v>3</v>
      </c>
      <c r="E41" s="59">
        <v>4</v>
      </c>
      <c r="F41" s="59">
        <v>5</v>
      </c>
      <c r="G41" s="59" t="s">
        <v>51</v>
      </c>
      <c r="H41" s="59" t="s">
        <v>52</v>
      </c>
      <c r="I41" s="510"/>
      <c r="J41" s="510"/>
      <c r="K41" s="511"/>
      <c r="L41" s="512"/>
      <c r="M41" s="512"/>
      <c r="N41" s="61" t="s">
        <v>1</v>
      </c>
      <c r="O41" s="61" t="s">
        <v>2</v>
      </c>
    </row>
    <row r="42" spans="1:15" s="11" customFormat="1" ht="15">
      <c r="A42" s="314">
        <v>652</v>
      </c>
      <c r="B42" s="315" t="s">
        <v>34</v>
      </c>
      <c r="C42" s="316">
        <f>C43</f>
        <v>89693</v>
      </c>
      <c r="D42" s="316">
        <f>D43</f>
        <v>130000</v>
      </c>
      <c r="E42" s="316">
        <f>E43</f>
        <v>130000</v>
      </c>
      <c r="F42" s="316">
        <f>F43</f>
        <v>138171</v>
      </c>
      <c r="G42" s="316">
        <f>F42/C42*100</f>
        <v>154.04881094399784</v>
      </c>
      <c r="H42" s="317">
        <f>F42/E42*100</f>
        <v>106.28538461538461</v>
      </c>
      <c r="I42" s="510"/>
      <c r="J42" s="510"/>
      <c r="K42" s="511"/>
      <c r="L42" s="512"/>
      <c r="M42" s="512"/>
      <c r="N42" s="12"/>
      <c r="O42" s="12"/>
    </row>
    <row r="43" spans="1:15" s="15" customFormat="1" ht="30">
      <c r="A43" s="238">
        <v>65269</v>
      </c>
      <c r="B43" s="239" t="s">
        <v>108</v>
      </c>
      <c r="C43" s="240">
        <v>89693</v>
      </c>
      <c r="D43" s="240">
        <v>130000</v>
      </c>
      <c r="E43" s="240">
        <v>130000</v>
      </c>
      <c r="F43" s="240">
        <v>138171</v>
      </c>
      <c r="G43" s="242">
        <f>F43/C43*100</f>
        <v>154.04881094399784</v>
      </c>
      <c r="H43" s="243">
        <f>F43/E43*100</f>
        <v>106.28538461538461</v>
      </c>
      <c r="I43" s="8"/>
      <c r="J43" s="8"/>
      <c r="K43" s="13"/>
      <c r="L43" s="13"/>
      <c r="M43" s="8"/>
      <c r="N43" s="14"/>
      <c r="O43" s="14"/>
    </row>
    <row r="44" spans="1:16" ht="14.25" customHeight="1">
      <c r="A44" s="496" t="s">
        <v>213</v>
      </c>
      <c r="B44" s="497"/>
      <c r="C44" s="131">
        <f>C42</f>
        <v>89693</v>
      </c>
      <c r="D44" s="131">
        <f>D42</f>
        <v>130000</v>
      </c>
      <c r="E44" s="131">
        <f>E42</f>
        <v>130000</v>
      </c>
      <c r="F44" s="131">
        <f>F42</f>
        <v>138171</v>
      </c>
      <c r="G44" s="131">
        <f>F44/C44*100</f>
        <v>154.04881094399784</v>
      </c>
      <c r="H44" s="131">
        <f>F44/E44*100</f>
        <v>106.28538461538461</v>
      </c>
      <c r="I44" s="19"/>
      <c r="J44" s="19"/>
      <c r="K44" s="20"/>
      <c r="L44" s="20"/>
      <c r="M44" s="19"/>
      <c r="N44" s="2">
        <v>0</v>
      </c>
      <c r="O44" s="2">
        <v>0</v>
      </c>
      <c r="P44" s="15"/>
    </row>
    <row r="45" spans="1:8" ht="15">
      <c r="A45" s="79"/>
      <c r="B45" s="79"/>
      <c r="C45" s="8"/>
      <c r="D45" s="8"/>
      <c r="E45" s="8"/>
      <c r="F45" s="8"/>
      <c r="G45" s="8"/>
      <c r="H45" s="165"/>
    </row>
    <row r="46" spans="1:8" ht="15">
      <c r="A46" s="79"/>
      <c r="B46" s="79"/>
      <c r="C46" s="8"/>
      <c r="D46" s="8"/>
      <c r="E46" s="8"/>
      <c r="F46" s="8"/>
      <c r="G46" s="8"/>
      <c r="H46" s="8"/>
    </row>
    <row r="47" spans="1:7" ht="15">
      <c r="A47" s="3" t="s">
        <v>209</v>
      </c>
      <c r="B47" s="4"/>
      <c r="C47" s="4"/>
      <c r="D47" s="5"/>
      <c r="E47" s="5"/>
      <c r="F47" s="5"/>
      <c r="G47" s="5"/>
    </row>
    <row r="48" spans="1:8" ht="15" customHeight="1">
      <c r="A48" s="444" t="s">
        <v>26</v>
      </c>
      <c r="B48" s="446" t="s">
        <v>0</v>
      </c>
      <c r="C48" s="446" t="s">
        <v>235</v>
      </c>
      <c r="D48" s="441" t="s">
        <v>132</v>
      </c>
      <c r="E48" s="441" t="s">
        <v>226</v>
      </c>
      <c r="F48" s="441" t="s">
        <v>241</v>
      </c>
      <c r="G48" s="441" t="s">
        <v>50</v>
      </c>
      <c r="H48" s="441" t="s">
        <v>50</v>
      </c>
    </row>
    <row r="49" spans="1:8" ht="30" customHeight="1">
      <c r="A49" s="445"/>
      <c r="B49" s="447"/>
      <c r="C49" s="447"/>
      <c r="D49" s="442"/>
      <c r="E49" s="442"/>
      <c r="F49" s="442"/>
      <c r="G49" s="442"/>
      <c r="H49" s="442"/>
    </row>
    <row r="50" spans="1:8" ht="15" customHeight="1">
      <c r="A50" s="450">
        <v>1</v>
      </c>
      <c r="B50" s="450"/>
      <c r="C50" s="58">
        <v>2</v>
      </c>
      <c r="D50" s="59">
        <v>3</v>
      </c>
      <c r="E50" s="59">
        <v>4</v>
      </c>
      <c r="F50" s="59">
        <v>5</v>
      </c>
      <c r="G50" s="59" t="s">
        <v>51</v>
      </c>
      <c r="H50" s="59" t="s">
        <v>52</v>
      </c>
    </row>
    <row r="51" spans="1:15" s="15" customFormat="1" ht="15">
      <c r="A51" s="130">
        <v>636</v>
      </c>
      <c r="B51" s="114" t="s">
        <v>34</v>
      </c>
      <c r="C51" s="112">
        <f>C52</f>
        <v>0</v>
      </c>
      <c r="D51" s="112">
        <f>D52</f>
        <v>1360</v>
      </c>
      <c r="E51" s="112">
        <f>E52</f>
        <v>1360</v>
      </c>
      <c r="F51" s="112">
        <f>F52</f>
        <v>340</v>
      </c>
      <c r="G51" s="132" t="e">
        <f>F51/C51*100</f>
        <v>#DIV/0!</v>
      </c>
      <c r="H51" s="133">
        <f>F51/E51*100</f>
        <v>25</v>
      </c>
      <c r="I51" s="8"/>
      <c r="J51" s="8"/>
      <c r="K51" s="13"/>
      <c r="L51" s="13"/>
      <c r="M51" s="8"/>
      <c r="N51" s="14"/>
      <c r="O51" s="14"/>
    </row>
    <row r="52" spans="1:15" s="15" customFormat="1" ht="30">
      <c r="A52" s="51">
        <v>63613</v>
      </c>
      <c r="B52" s="48" t="s">
        <v>144</v>
      </c>
      <c r="C52" s="67">
        <v>0</v>
      </c>
      <c r="D52" s="49">
        <v>1360</v>
      </c>
      <c r="E52" s="49">
        <v>1360</v>
      </c>
      <c r="F52" s="49">
        <v>340</v>
      </c>
      <c r="G52" s="110" t="e">
        <f>F52/C52*100</f>
        <v>#DIV/0!</v>
      </c>
      <c r="H52" s="111">
        <f>F52/E52*100</f>
        <v>25</v>
      </c>
      <c r="I52" s="8"/>
      <c r="J52" s="8"/>
      <c r="K52" s="13"/>
      <c r="L52" s="13"/>
      <c r="M52" s="8"/>
      <c r="N52" s="14"/>
      <c r="O52" s="14"/>
    </row>
    <row r="53" spans="1:15" s="11" customFormat="1" ht="15">
      <c r="A53" s="496" t="s">
        <v>214</v>
      </c>
      <c r="B53" s="497"/>
      <c r="C53" s="131">
        <f aca="true" t="shared" si="2" ref="C53:H53">C51</f>
        <v>0</v>
      </c>
      <c r="D53" s="131">
        <f t="shared" si="2"/>
        <v>1360</v>
      </c>
      <c r="E53" s="131">
        <f t="shared" si="2"/>
        <v>1360</v>
      </c>
      <c r="F53" s="131">
        <f>F51</f>
        <v>340</v>
      </c>
      <c r="G53" s="131" t="e">
        <f t="shared" si="2"/>
        <v>#DIV/0!</v>
      </c>
      <c r="H53" s="131">
        <f t="shared" si="2"/>
        <v>25</v>
      </c>
      <c r="I53" s="71"/>
      <c r="J53" s="71"/>
      <c r="K53" s="55"/>
      <c r="L53" s="56"/>
      <c r="M53" s="56"/>
      <c r="N53" s="12"/>
      <c r="O53" s="12"/>
    </row>
    <row r="54" spans="1:15" s="15" customFormat="1" ht="15">
      <c r="A54" s="79"/>
      <c r="B54" s="79"/>
      <c r="C54" s="8"/>
      <c r="D54" s="8"/>
      <c r="E54" s="8"/>
      <c r="F54" s="8"/>
      <c r="G54" s="8"/>
      <c r="H54" s="8"/>
      <c r="I54" s="8"/>
      <c r="J54" s="8"/>
      <c r="K54" s="13"/>
      <c r="L54" s="13"/>
      <c r="M54" s="8"/>
      <c r="N54" s="14"/>
      <c r="O54" s="14"/>
    </row>
    <row r="55" spans="1:16" ht="14.25" customHeight="1">
      <c r="A55" s="79"/>
      <c r="B55" s="79"/>
      <c r="C55" s="8"/>
      <c r="D55" s="8"/>
      <c r="E55" s="8"/>
      <c r="F55" s="8"/>
      <c r="G55" s="8"/>
      <c r="H55" s="8"/>
      <c r="I55" s="19"/>
      <c r="J55" s="19"/>
      <c r="K55" s="20"/>
      <c r="L55" s="20"/>
      <c r="M55" s="19"/>
      <c r="P55" s="15"/>
    </row>
    <row r="56" spans="1:7" ht="15">
      <c r="A56" s="3" t="s">
        <v>208</v>
      </c>
      <c r="B56" s="4"/>
      <c r="C56" s="4"/>
      <c r="D56" s="5"/>
      <c r="E56" s="5"/>
      <c r="F56" s="5"/>
      <c r="G56" s="5"/>
    </row>
    <row r="57" spans="1:8" ht="15" customHeight="1">
      <c r="A57" s="444" t="s">
        <v>26</v>
      </c>
      <c r="B57" s="446" t="s">
        <v>0</v>
      </c>
      <c r="C57" s="446" t="s">
        <v>235</v>
      </c>
      <c r="D57" s="441" t="s">
        <v>132</v>
      </c>
      <c r="E57" s="441" t="s">
        <v>226</v>
      </c>
      <c r="F57" s="441" t="s">
        <v>241</v>
      </c>
      <c r="G57" s="441" t="s">
        <v>50</v>
      </c>
      <c r="H57" s="441" t="s">
        <v>50</v>
      </c>
    </row>
    <row r="58" spans="1:8" ht="30" customHeight="1">
      <c r="A58" s="445"/>
      <c r="B58" s="447"/>
      <c r="C58" s="447"/>
      <c r="D58" s="442"/>
      <c r="E58" s="442"/>
      <c r="F58" s="442"/>
      <c r="G58" s="442"/>
      <c r="H58" s="442"/>
    </row>
    <row r="59" spans="1:8" ht="15" customHeight="1">
      <c r="A59" s="450">
        <v>1</v>
      </c>
      <c r="B59" s="450"/>
      <c r="C59" s="58">
        <v>2</v>
      </c>
      <c r="D59" s="59">
        <v>3</v>
      </c>
      <c r="E59" s="59">
        <v>4</v>
      </c>
      <c r="F59" s="59">
        <v>5</v>
      </c>
      <c r="G59" s="59" t="s">
        <v>51</v>
      </c>
      <c r="H59" s="59" t="s">
        <v>52</v>
      </c>
    </row>
    <row r="60" spans="1:8" ht="37.5" customHeight="1">
      <c r="A60" s="130">
        <v>634</v>
      </c>
      <c r="B60" s="114" t="s">
        <v>34</v>
      </c>
      <c r="C60" s="112">
        <f>C62+C61</f>
        <v>2000</v>
      </c>
      <c r="D60" s="112">
        <f>D62+D61</f>
        <v>2000</v>
      </c>
      <c r="E60" s="112">
        <f>E62+E61</f>
        <v>2000</v>
      </c>
      <c r="F60" s="112">
        <f>F62+F61</f>
        <v>1985</v>
      </c>
      <c r="G60" s="132">
        <f>F60/C60*100</f>
        <v>99.25</v>
      </c>
      <c r="H60" s="133">
        <f>F60/E60*100</f>
        <v>99.25</v>
      </c>
    </row>
    <row r="61" spans="1:15" s="62" customFormat="1" ht="12" customHeight="1">
      <c r="A61" s="51">
        <v>63414</v>
      </c>
      <c r="B61" s="48" t="s">
        <v>145</v>
      </c>
      <c r="C61" s="67">
        <v>0</v>
      </c>
      <c r="D61" s="49">
        <v>2000</v>
      </c>
      <c r="E61" s="49">
        <v>0</v>
      </c>
      <c r="F61" s="49">
        <v>0</v>
      </c>
      <c r="G61" s="110">
        <v>0</v>
      </c>
      <c r="H61" s="111" t="e">
        <f>F61/E61*100</f>
        <v>#DIV/0!</v>
      </c>
      <c r="I61" s="71"/>
      <c r="J61" s="71"/>
      <c r="K61" s="55"/>
      <c r="L61" s="56"/>
      <c r="M61" s="56"/>
      <c r="N61" s="61" t="s">
        <v>1</v>
      </c>
      <c r="O61" s="61" t="s">
        <v>2</v>
      </c>
    </row>
    <row r="62" spans="1:15" s="11" customFormat="1" ht="30">
      <c r="A62" s="51">
        <v>63415</v>
      </c>
      <c r="B62" s="48" t="s">
        <v>140</v>
      </c>
      <c r="C62" s="67">
        <v>2000</v>
      </c>
      <c r="D62" s="49">
        <v>0</v>
      </c>
      <c r="E62" s="49">
        <v>2000</v>
      </c>
      <c r="F62" s="49">
        <v>1985</v>
      </c>
      <c r="G62" s="110">
        <f>F62/C62*100</f>
        <v>99.25</v>
      </c>
      <c r="H62" s="111">
        <f>F62/E62*100</f>
        <v>99.25</v>
      </c>
      <c r="I62" s="71"/>
      <c r="J62" s="71"/>
      <c r="K62" s="55"/>
      <c r="L62" s="56"/>
      <c r="M62" s="56"/>
      <c r="N62" s="12"/>
      <c r="O62" s="12"/>
    </row>
    <row r="63" spans="1:8" ht="15">
      <c r="A63" s="496" t="s">
        <v>215</v>
      </c>
      <c r="B63" s="497"/>
      <c r="C63" s="131">
        <f aca="true" t="shared" si="3" ref="C63:H63">C60</f>
        <v>2000</v>
      </c>
      <c r="D63" s="131">
        <f t="shared" si="3"/>
        <v>2000</v>
      </c>
      <c r="E63" s="131">
        <f t="shared" si="3"/>
        <v>2000</v>
      </c>
      <c r="F63" s="131">
        <f t="shared" si="3"/>
        <v>1985</v>
      </c>
      <c r="G63" s="131">
        <f t="shared" si="3"/>
        <v>99.25</v>
      </c>
      <c r="H63" s="131">
        <f t="shared" si="3"/>
        <v>99.25</v>
      </c>
    </row>
    <row r="64" spans="1:8" ht="15">
      <c r="A64" s="79"/>
      <c r="B64" s="79"/>
      <c r="C64" s="8"/>
      <c r="D64" s="8"/>
      <c r="E64" s="8"/>
      <c r="F64" s="8"/>
      <c r="G64" s="8"/>
      <c r="H64" s="8"/>
    </row>
    <row r="65" spans="1:8" ht="15">
      <c r="A65" s="79"/>
      <c r="B65" s="79"/>
      <c r="C65" s="8"/>
      <c r="D65" s="8">
        <f>SUM(D63+D44+D35+D72)</f>
        <v>339005</v>
      </c>
      <c r="E65" s="8"/>
      <c r="F65" s="8"/>
      <c r="G65" s="8"/>
      <c r="H65" s="8"/>
    </row>
    <row r="66" spans="1:7" ht="15">
      <c r="A66" s="3" t="s">
        <v>207</v>
      </c>
      <c r="B66" s="4"/>
      <c r="C66" s="4"/>
      <c r="D66" s="5"/>
      <c r="E66" s="5"/>
      <c r="F66" s="5"/>
      <c r="G66" s="5"/>
    </row>
    <row r="67" spans="1:8" ht="15" customHeight="1">
      <c r="A67" s="444" t="s">
        <v>26</v>
      </c>
      <c r="B67" s="446" t="s">
        <v>0</v>
      </c>
      <c r="C67" s="446" t="s">
        <v>235</v>
      </c>
      <c r="D67" s="441" t="s">
        <v>132</v>
      </c>
      <c r="E67" s="441" t="s">
        <v>226</v>
      </c>
      <c r="F67" s="441" t="s">
        <v>241</v>
      </c>
      <c r="G67" s="441" t="s">
        <v>50</v>
      </c>
      <c r="H67" s="441" t="s">
        <v>50</v>
      </c>
    </row>
    <row r="68" spans="1:8" ht="30.75" customHeight="1">
      <c r="A68" s="445"/>
      <c r="B68" s="447"/>
      <c r="C68" s="447"/>
      <c r="D68" s="442"/>
      <c r="E68" s="442"/>
      <c r="F68" s="442"/>
      <c r="G68" s="442"/>
      <c r="H68" s="442"/>
    </row>
    <row r="69" spans="1:8" ht="15">
      <c r="A69" s="450">
        <v>1</v>
      </c>
      <c r="B69" s="450"/>
      <c r="C69" s="58">
        <v>2</v>
      </c>
      <c r="D69" s="59">
        <v>3</v>
      </c>
      <c r="E69" s="59">
        <v>4</v>
      </c>
      <c r="F69" s="59">
        <v>5</v>
      </c>
      <c r="G69" s="59" t="s">
        <v>51</v>
      </c>
      <c r="H69" s="59" t="s">
        <v>52</v>
      </c>
    </row>
    <row r="70" spans="1:8" ht="15">
      <c r="A70" s="130">
        <v>638</v>
      </c>
      <c r="B70" s="114" t="s">
        <v>34</v>
      </c>
      <c r="C70" s="112">
        <f>C71</f>
        <v>0</v>
      </c>
      <c r="D70" s="112">
        <f>D71</f>
        <v>165000</v>
      </c>
      <c r="E70" s="112">
        <f>E71</f>
        <v>40950</v>
      </c>
      <c r="F70" s="112">
        <f>F71</f>
        <v>0</v>
      </c>
      <c r="G70" s="132" t="e">
        <f>F70/C70*100</f>
        <v>#DIV/0!</v>
      </c>
      <c r="H70" s="133">
        <f>F70/E70*100</f>
        <v>0</v>
      </c>
    </row>
    <row r="71" spans="1:8" ht="29.25" customHeight="1">
      <c r="A71" s="51">
        <v>63811</v>
      </c>
      <c r="B71" s="48" t="s">
        <v>143</v>
      </c>
      <c r="C71" s="67">
        <v>0</v>
      </c>
      <c r="D71" s="49">
        <v>165000</v>
      </c>
      <c r="E71" s="49">
        <v>40950</v>
      </c>
      <c r="F71" s="49">
        <v>0</v>
      </c>
      <c r="G71" s="110" t="e">
        <f>F71/C71*100</f>
        <v>#DIV/0!</v>
      </c>
      <c r="H71" s="111">
        <f>F71/E71*100</f>
        <v>0</v>
      </c>
    </row>
    <row r="72" spans="1:8" ht="15">
      <c r="A72" s="496" t="s">
        <v>216</v>
      </c>
      <c r="B72" s="497"/>
      <c r="C72" s="131">
        <f>C70</f>
        <v>0</v>
      </c>
      <c r="D72" s="131">
        <f>D70</f>
        <v>165000</v>
      </c>
      <c r="E72" s="131">
        <f>E70</f>
        <v>40950</v>
      </c>
      <c r="F72" s="131">
        <f>F70</f>
        <v>0</v>
      </c>
      <c r="G72" s="131" t="e">
        <f>F72/C72*C77100</f>
        <v>#DIV/0!</v>
      </c>
      <c r="H72" s="131">
        <f>F72/E72*100</f>
        <v>0</v>
      </c>
    </row>
    <row r="73" spans="1:8" s="338" customFormat="1" ht="15">
      <c r="A73" s="335"/>
      <c r="B73" s="336"/>
      <c r="C73" s="337"/>
      <c r="D73" s="337"/>
      <c r="E73" s="337"/>
      <c r="F73" s="337"/>
      <c r="G73" s="8"/>
      <c r="H73" s="8"/>
    </row>
    <row r="74" spans="1:8" s="338" customFormat="1" ht="15">
      <c r="A74" s="7"/>
      <c r="B74" s="79"/>
      <c r="C74" s="80"/>
      <c r="D74" s="80"/>
      <c r="E74" s="80"/>
      <c r="F74" s="80"/>
      <c r="G74" s="8"/>
      <c r="H74" s="8"/>
    </row>
    <row r="75" spans="1:8" s="338" customFormat="1" ht="15">
      <c r="A75" s="7"/>
      <c r="B75" s="79"/>
      <c r="C75" s="80"/>
      <c r="D75" s="80"/>
      <c r="E75" s="80"/>
      <c r="F75" s="80"/>
      <c r="G75" s="8"/>
      <c r="H75" s="8"/>
    </row>
    <row r="76" spans="1:8" ht="19.5">
      <c r="A76" s="509" t="s">
        <v>87</v>
      </c>
      <c r="B76" s="509"/>
      <c r="C76" s="189">
        <f>SUM(C12,C22,C35,C63,C44,C72+C53)</f>
        <v>8129803</v>
      </c>
      <c r="D76" s="189" t="e">
        <f>SUM(D12,D22,D35,D63,D44,D72+#REF!+D53)</f>
        <v>#REF!</v>
      </c>
      <c r="E76" s="189">
        <f>SUM(E12,E22,E35,E63,E44,E72+E53)</f>
        <v>8351805</v>
      </c>
      <c r="F76" s="189">
        <f>SUM(F12,F22,F35,F63,F44,F72+F53)</f>
        <v>8610680.41</v>
      </c>
      <c r="G76" s="189">
        <f>F76/C76*100</f>
        <v>105.91499461918082</v>
      </c>
      <c r="H76" s="189">
        <f>F76/E76*100</f>
        <v>103.09963427067564</v>
      </c>
    </row>
    <row r="77" spans="1:8" ht="15">
      <c r="A77" s="7"/>
      <c r="B77" s="7"/>
      <c r="C77" s="80"/>
      <c r="D77" s="80"/>
      <c r="E77" s="80"/>
      <c r="F77" s="80"/>
      <c r="G77" s="8"/>
      <c r="H77" s="8"/>
    </row>
    <row r="78" spans="1:8" ht="15">
      <c r="A78" s="7"/>
      <c r="B78" s="7"/>
      <c r="C78" s="80"/>
      <c r="D78" s="80"/>
      <c r="E78" s="80"/>
      <c r="F78" s="80"/>
      <c r="G78" s="8"/>
      <c r="H78" s="8"/>
    </row>
    <row r="79" spans="1:8" ht="15.75" customHeight="1">
      <c r="A79" s="7"/>
      <c r="B79" s="7"/>
      <c r="C79" s="80"/>
      <c r="D79" s="80"/>
      <c r="E79" s="80"/>
      <c r="F79" s="80"/>
      <c r="G79" s="8"/>
      <c r="H79" s="8"/>
    </row>
    <row r="80" spans="1:16" s="9" customFormat="1" ht="15">
      <c r="A80" s="7"/>
      <c r="B80" s="7"/>
      <c r="C80" s="80"/>
      <c r="D80" s="80"/>
      <c r="E80" s="80"/>
      <c r="F80" s="80"/>
      <c r="G80" s="8"/>
      <c r="H80" s="8"/>
      <c r="I80" s="8"/>
      <c r="J80" s="8"/>
      <c r="K80" s="8"/>
      <c r="L80" s="8"/>
      <c r="M80" s="8"/>
      <c r="P80" s="15"/>
    </row>
    <row r="81" spans="1:8" s="60" customFormat="1" ht="15">
      <c r="A81" s="7"/>
      <c r="B81" s="7"/>
      <c r="C81" s="80"/>
      <c r="D81" s="80"/>
      <c r="E81" s="80"/>
      <c r="F81" s="80"/>
      <c r="G81" s="8"/>
      <c r="H81" s="8"/>
    </row>
    <row r="82" spans="1:15" s="11" customFormat="1" ht="15">
      <c r="A82" s="7"/>
      <c r="B82" s="7"/>
      <c r="C82" s="80"/>
      <c r="D82" s="80"/>
      <c r="E82" s="80"/>
      <c r="F82" s="80"/>
      <c r="G82" s="8"/>
      <c r="H82" s="8"/>
      <c r="I82" s="8"/>
      <c r="J82" s="8"/>
      <c r="K82" s="13"/>
      <c r="L82" s="13"/>
      <c r="M82" s="8"/>
      <c r="N82" s="12"/>
      <c r="O82" s="12"/>
    </row>
    <row r="83" spans="1:15" s="15" customFormat="1" ht="15">
      <c r="A83" s="7"/>
      <c r="B83" s="7"/>
      <c r="C83" s="80"/>
      <c r="D83" s="80"/>
      <c r="E83" s="80"/>
      <c r="F83" s="80"/>
      <c r="G83" s="8"/>
      <c r="H83" s="8"/>
      <c r="I83" s="8"/>
      <c r="J83" s="8"/>
      <c r="K83" s="13"/>
      <c r="L83" s="13"/>
      <c r="M83" s="8"/>
      <c r="N83" s="14"/>
      <c r="O83" s="14"/>
    </row>
    <row r="84" spans="1:16" s="9" customFormat="1" ht="24.75" customHeight="1">
      <c r="A84" s="7"/>
      <c r="B84" s="7"/>
      <c r="C84" s="80"/>
      <c r="D84" s="80"/>
      <c r="E84" s="80"/>
      <c r="F84" s="80"/>
      <c r="G84" s="8"/>
      <c r="H84" s="8"/>
      <c r="I84" s="8"/>
      <c r="J84" s="8"/>
      <c r="K84" s="8"/>
      <c r="L84" s="8"/>
      <c r="M84" s="8"/>
      <c r="P84" s="15"/>
    </row>
    <row r="85" spans="1:16" s="9" customFormat="1" ht="15.75" customHeight="1">
      <c r="A85" s="490" t="s">
        <v>126</v>
      </c>
      <c r="B85" s="490"/>
      <c r="C85" s="490"/>
      <c r="D85" s="490"/>
      <c r="E85" s="490"/>
      <c r="F85" s="490"/>
      <c r="G85" s="490"/>
      <c r="H85" s="490"/>
      <c r="I85" s="8"/>
      <c r="J85" s="8"/>
      <c r="K85" s="8"/>
      <c r="L85" s="8"/>
      <c r="M85" s="8"/>
      <c r="P85" s="15"/>
    </row>
    <row r="86" spans="1:16" s="9" customFormat="1" ht="18.75">
      <c r="A86" s="166"/>
      <c r="B86" s="166"/>
      <c r="C86" s="166"/>
      <c r="D86" s="166"/>
      <c r="E86" s="166"/>
      <c r="F86" s="166"/>
      <c r="G86" s="166"/>
      <c r="H86" s="166"/>
      <c r="I86" s="8"/>
      <c r="J86" s="8"/>
      <c r="K86" s="8"/>
      <c r="L86" s="8"/>
      <c r="M86" s="8"/>
      <c r="P86" s="15"/>
    </row>
    <row r="87" spans="1:16" s="9" customFormat="1" ht="14.25" customHeight="1">
      <c r="A87" s="444" t="s">
        <v>26</v>
      </c>
      <c r="B87" s="446" t="s">
        <v>0</v>
      </c>
      <c r="C87" s="446" t="s">
        <v>235</v>
      </c>
      <c r="D87" s="441" t="s">
        <v>132</v>
      </c>
      <c r="E87" s="441" t="s">
        <v>226</v>
      </c>
      <c r="F87" s="441" t="s">
        <v>241</v>
      </c>
      <c r="G87" s="441" t="s">
        <v>50</v>
      </c>
      <c r="H87" s="441" t="s">
        <v>50</v>
      </c>
      <c r="I87" s="8"/>
      <c r="J87" s="8"/>
      <c r="K87" s="8"/>
      <c r="L87" s="8"/>
      <c r="M87" s="8"/>
      <c r="P87" s="15"/>
    </row>
    <row r="88" spans="1:16" s="9" customFormat="1" ht="30" customHeight="1">
      <c r="A88" s="445"/>
      <c r="B88" s="447"/>
      <c r="C88" s="447"/>
      <c r="D88" s="442"/>
      <c r="E88" s="442"/>
      <c r="F88" s="442"/>
      <c r="G88" s="442"/>
      <c r="H88" s="442"/>
      <c r="I88" s="8"/>
      <c r="J88" s="8"/>
      <c r="K88" s="8"/>
      <c r="L88" s="8"/>
      <c r="M88" s="8"/>
      <c r="P88" s="15"/>
    </row>
    <row r="89" spans="1:16" s="64" customFormat="1" ht="12">
      <c r="A89" s="450">
        <v>1</v>
      </c>
      <c r="B89" s="450"/>
      <c r="C89" s="58">
        <v>2</v>
      </c>
      <c r="D89" s="59">
        <v>3</v>
      </c>
      <c r="E89" s="59">
        <v>4</v>
      </c>
      <c r="F89" s="59">
        <v>5</v>
      </c>
      <c r="G89" s="59" t="s">
        <v>51</v>
      </c>
      <c r="H89" s="59" t="s">
        <v>52</v>
      </c>
      <c r="I89" s="63"/>
      <c r="J89" s="63"/>
      <c r="K89" s="63"/>
      <c r="L89" s="63"/>
      <c r="M89" s="63"/>
      <c r="P89" s="65"/>
    </row>
    <row r="90" spans="1:15" s="11" customFormat="1" ht="15">
      <c r="A90" s="291" t="s">
        <v>246</v>
      </c>
      <c r="B90" s="292" t="s">
        <v>197</v>
      </c>
      <c r="C90" s="293">
        <f>C12</f>
        <v>1171367</v>
      </c>
      <c r="D90" s="293">
        <f>D12</f>
        <v>925620</v>
      </c>
      <c r="E90" s="293">
        <f>E12</f>
        <v>1143290</v>
      </c>
      <c r="F90" s="293">
        <f>F12</f>
        <v>1134827.97</v>
      </c>
      <c r="G90" s="294">
        <f aca="true" t="shared" si="4" ref="G90:G96">F90/C90*100</f>
        <v>96.88065055614508</v>
      </c>
      <c r="H90" s="295">
        <f aca="true" t="shared" si="5" ref="H90:H96">F90/E90*100</f>
        <v>99.25985270578768</v>
      </c>
      <c r="I90" s="8"/>
      <c r="J90" s="8"/>
      <c r="K90" s="13"/>
      <c r="L90" s="13"/>
      <c r="M90" s="8"/>
      <c r="N90" s="12"/>
      <c r="O90" s="12"/>
    </row>
    <row r="91" spans="1:15" s="15" customFormat="1" ht="15">
      <c r="A91" s="100" t="s">
        <v>202</v>
      </c>
      <c r="B91" s="94" t="s">
        <v>201</v>
      </c>
      <c r="C91" s="95">
        <f>C22</f>
        <v>6861652</v>
      </c>
      <c r="D91" s="95">
        <f>D22</f>
        <v>6410000</v>
      </c>
      <c r="E91" s="95">
        <f>E22</f>
        <v>6992200</v>
      </c>
      <c r="F91" s="95">
        <f>F22</f>
        <v>7297575.91</v>
      </c>
      <c r="G91" s="25">
        <f t="shared" si="4"/>
        <v>106.35304603031457</v>
      </c>
      <c r="H91" s="233">
        <f t="shared" si="5"/>
        <v>104.36737950859529</v>
      </c>
      <c r="I91" s="8"/>
      <c r="J91" s="8"/>
      <c r="K91" s="13"/>
      <c r="L91" s="13"/>
      <c r="M91" s="8"/>
      <c r="N91" s="14"/>
      <c r="O91" s="14"/>
    </row>
    <row r="92" spans="1:16" s="9" customFormat="1" ht="30.75" customHeight="1">
      <c r="A92" s="100" t="s">
        <v>198</v>
      </c>
      <c r="B92" s="94" t="s">
        <v>147</v>
      </c>
      <c r="C92" s="95">
        <f>C35</f>
        <v>5091</v>
      </c>
      <c r="D92" s="95">
        <f>D35</f>
        <v>42005</v>
      </c>
      <c r="E92" s="95">
        <f>E35</f>
        <v>42005</v>
      </c>
      <c r="F92" s="95">
        <f>F35</f>
        <v>37780.53</v>
      </c>
      <c r="G92" s="25">
        <f t="shared" si="4"/>
        <v>742.104301708898</v>
      </c>
      <c r="H92" s="233">
        <f t="shared" si="5"/>
        <v>89.94293536483752</v>
      </c>
      <c r="I92" s="8"/>
      <c r="J92" s="8"/>
      <c r="K92" s="8"/>
      <c r="L92" s="8"/>
      <c r="M92" s="8"/>
      <c r="P92" s="15"/>
    </row>
    <row r="93" spans="1:16" s="9" customFormat="1" ht="15">
      <c r="A93" s="100" t="s">
        <v>200</v>
      </c>
      <c r="B93" s="94" t="s">
        <v>199</v>
      </c>
      <c r="C93" s="95">
        <f>C44</f>
        <v>89693</v>
      </c>
      <c r="D93" s="95">
        <f>D44</f>
        <v>130000</v>
      </c>
      <c r="E93" s="95">
        <f>E44</f>
        <v>130000</v>
      </c>
      <c r="F93" s="95">
        <f>F44</f>
        <v>138171</v>
      </c>
      <c r="G93" s="25">
        <f t="shared" si="4"/>
        <v>154.04881094399784</v>
      </c>
      <c r="H93" s="233">
        <f t="shared" si="5"/>
        <v>106.28538461538461</v>
      </c>
      <c r="I93" s="8"/>
      <c r="J93" s="8"/>
      <c r="K93" s="8"/>
      <c r="L93" s="8"/>
      <c r="M93" s="8"/>
      <c r="P93" s="15"/>
    </row>
    <row r="94" spans="1:8" s="22" customFormat="1" ht="15">
      <c r="A94" s="100" t="s">
        <v>192</v>
      </c>
      <c r="B94" s="94" t="s">
        <v>191</v>
      </c>
      <c r="C94" s="95">
        <f>C63</f>
        <v>2000</v>
      </c>
      <c r="D94" s="95">
        <f>D63</f>
        <v>2000</v>
      </c>
      <c r="E94" s="95">
        <f>E63</f>
        <v>2000</v>
      </c>
      <c r="F94" s="95">
        <f>F63</f>
        <v>1985</v>
      </c>
      <c r="G94" s="25">
        <f t="shared" si="4"/>
        <v>99.25</v>
      </c>
      <c r="H94" s="233">
        <f t="shared" si="5"/>
        <v>99.25</v>
      </c>
    </row>
    <row r="95" spans="1:16" s="9" customFormat="1" ht="15">
      <c r="A95" s="100" t="s">
        <v>204</v>
      </c>
      <c r="B95" s="94" t="s">
        <v>203</v>
      </c>
      <c r="C95" s="95"/>
      <c r="D95" s="95"/>
      <c r="E95" s="95">
        <v>1360</v>
      </c>
      <c r="F95" s="95">
        <v>340</v>
      </c>
      <c r="G95" s="25" t="e">
        <f t="shared" si="4"/>
        <v>#DIV/0!</v>
      </c>
      <c r="H95" s="233">
        <f t="shared" si="5"/>
        <v>25</v>
      </c>
      <c r="I95" s="8"/>
      <c r="J95" s="8"/>
      <c r="K95" s="8"/>
      <c r="L95" s="8"/>
      <c r="M95" s="8"/>
      <c r="P95" s="15"/>
    </row>
    <row r="96" spans="1:16" s="15" customFormat="1" ht="14.25" customHeight="1">
      <c r="A96" s="101" t="s">
        <v>196</v>
      </c>
      <c r="B96" s="102" t="s">
        <v>195</v>
      </c>
      <c r="C96" s="103">
        <f>C72</f>
        <v>0</v>
      </c>
      <c r="D96" s="103">
        <f>D72</f>
        <v>165000</v>
      </c>
      <c r="E96" s="103">
        <f>E72</f>
        <v>40950</v>
      </c>
      <c r="F96" s="103">
        <f>F72</f>
        <v>0</v>
      </c>
      <c r="G96" s="242" t="e">
        <f t="shared" si="4"/>
        <v>#DIV/0!</v>
      </c>
      <c r="H96" s="243">
        <f t="shared" si="5"/>
        <v>0</v>
      </c>
      <c r="I96" s="8"/>
      <c r="J96" s="8"/>
      <c r="K96" s="13"/>
      <c r="L96" s="13"/>
      <c r="M96" s="8"/>
      <c r="N96" s="23">
        <f>SUM(N100:N100)</f>
        <v>0</v>
      </c>
      <c r="O96" s="24">
        <f>SUM(O100:O100)</f>
        <v>0</v>
      </c>
      <c r="P96" s="15">
        <f>SUM(H96:J96)</f>
        <v>0</v>
      </c>
    </row>
    <row r="97" spans="1:15" s="15" customFormat="1" ht="14.25" customHeight="1">
      <c r="A97" s="7"/>
      <c r="B97" s="7"/>
      <c r="C97" s="80"/>
      <c r="D97" s="80"/>
      <c r="E97" s="80"/>
      <c r="F97" s="80"/>
      <c r="G97" s="8"/>
      <c r="H97" s="8"/>
      <c r="I97" s="8"/>
      <c r="J97" s="8"/>
      <c r="K97" s="13"/>
      <c r="L97" s="13"/>
      <c r="M97" s="8"/>
      <c r="N97" s="14"/>
      <c r="O97" s="14"/>
    </row>
    <row r="98" spans="1:15" s="15" customFormat="1" ht="14.25" customHeight="1">
      <c r="A98" s="7"/>
      <c r="B98" s="7"/>
      <c r="C98" s="80"/>
      <c r="D98" s="80"/>
      <c r="E98" s="80"/>
      <c r="F98" s="80"/>
      <c r="G98" s="8"/>
      <c r="H98" s="8"/>
      <c r="I98" s="8"/>
      <c r="J98" s="8"/>
      <c r="K98" s="13"/>
      <c r="L98" s="13"/>
      <c r="M98" s="8"/>
      <c r="N98" s="14"/>
      <c r="O98" s="14"/>
    </row>
    <row r="99" spans="1:15" s="15" customFormat="1" ht="14.25" customHeight="1">
      <c r="A99" s="456" t="s">
        <v>47</v>
      </c>
      <c r="B99" s="456"/>
      <c r="C99" s="456"/>
      <c r="D99" s="456"/>
      <c r="E99" s="456"/>
      <c r="F99" s="456"/>
      <c r="G99" s="456"/>
      <c r="H99" s="456"/>
      <c r="I99" s="8"/>
      <c r="J99" s="8"/>
      <c r="K99" s="13"/>
      <c r="L99" s="13"/>
      <c r="M99" s="8"/>
      <c r="N99" s="14"/>
      <c r="O99" s="14"/>
    </row>
    <row r="100" spans="1:16" ht="15">
      <c r="A100" s="7"/>
      <c r="B100" s="7"/>
      <c r="C100" s="7"/>
      <c r="D100" s="7"/>
      <c r="E100" s="7"/>
      <c r="F100" s="7"/>
      <c r="G100" s="7"/>
      <c r="H100" s="8"/>
      <c r="I100" s="19"/>
      <c r="J100" s="19"/>
      <c r="K100" s="20"/>
      <c r="L100" s="20"/>
      <c r="M100" s="19"/>
      <c r="N100" s="2">
        <v>0</v>
      </c>
      <c r="O100" s="2">
        <v>0</v>
      </c>
      <c r="P100" s="15"/>
    </row>
    <row r="101" spans="1:16" s="9" customFormat="1" ht="15">
      <c r="A101" s="9" t="s">
        <v>247</v>
      </c>
      <c r="B101" s="7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P101" s="15"/>
    </row>
    <row r="102" spans="1:16" s="15" customFormat="1" ht="15.75" customHeight="1">
      <c r="A102" s="444" t="s">
        <v>26</v>
      </c>
      <c r="B102" s="446" t="s">
        <v>0</v>
      </c>
      <c r="C102" s="446" t="s">
        <v>235</v>
      </c>
      <c r="D102" s="441" t="s">
        <v>132</v>
      </c>
      <c r="E102" s="441" t="s">
        <v>226</v>
      </c>
      <c r="F102" s="441" t="s">
        <v>241</v>
      </c>
      <c r="G102" s="441" t="s">
        <v>50</v>
      </c>
      <c r="H102" s="441" t="s">
        <v>50</v>
      </c>
      <c r="I102" s="8"/>
      <c r="J102" s="8"/>
      <c r="K102" s="13"/>
      <c r="L102" s="13"/>
      <c r="M102" s="8"/>
      <c r="N102" s="15">
        <v>0</v>
      </c>
      <c r="O102" s="15">
        <v>0</v>
      </c>
      <c r="P102" s="15">
        <f>SUM(H102:J102)</f>
        <v>0</v>
      </c>
    </row>
    <row r="103" spans="1:16" ht="31.5" customHeight="1">
      <c r="A103" s="445"/>
      <c r="B103" s="447"/>
      <c r="C103" s="447"/>
      <c r="D103" s="442"/>
      <c r="E103" s="442"/>
      <c r="F103" s="442"/>
      <c r="G103" s="442"/>
      <c r="H103" s="442"/>
      <c r="I103" s="19"/>
      <c r="J103" s="19"/>
      <c r="K103" s="20"/>
      <c r="L103" s="20"/>
      <c r="M103" s="19"/>
      <c r="N103" s="2">
        <v>0</v>
      </c>
      <c r="O103" s="2">
        <v>0</v>
      </c>
      <c r="P103" s="15"/>
    </row>
    <row r="104" spans="1:16" s="9" customFormat="1" ht="15">
      <c r="A104" s="168">
        <v>1</v>
      </c>
      <c r="B104" s="168"/>
      <c r="C104" s="58">
        <v>2</v>
      </c>
      <c r="D104" s="59">
        <v>3</v>
      </c>
      <c r="E104" s="59">
        <v>4</v>
      </c>
      <c r="F104" s="59">
        <v>5</v>
      </c>
      <c r="G104" s="59" t="s">
        <v>51</v>
      </c>
      <c r="H104" s="59" t="s">
        <v>52</v>
      </c>
      <c r="I104" s="8"/>
      <c r="J104" s="8"/>
      <c r="K104" s="8"/>
      <c r="L104" s="8"/>
      <c r="M104" s="8"/>
      <c r="P104" s="15"/>
    </row>
    <row r="105" spans="1:16" s="9" customFormat="1" ht="15" customHeight="1">
      <c r="A105" s="130">
        <v>922</v>
      </c>
      <c r="B105" s="114" t="s">
        <v>146</v>
      </c>
      <c r="C105" s="112">
        <f>C106</f>
        <v>0</v>
      </c>
      <c r="D105" s="112">
        <f>D106</f>
        <v>29000</v>
      </c>
      <c r="E105" s="112">
        <f>E106</f>
        <v>29000</v>
      </c>
      <c r="F105" s="112">
        <f>F106</f>
        <v>0</v>
      </c>
      <c r="G105" s="132" t="e">
        <f>F105/C105*100</f>
        <v>#DIV/0!</v>
      </c>
      <c r="H105" s="133">
        <f>F105/E105*100</f>
        <v>0</v>
      </c>
      <c r="I105" s="8"/>
      <c r="J105" s="8"/>
      <c r="K105" s="8"/>
      <c r="L105" s="8"/>
      <c r="M105" s="8"/>
      <c r="P105" s="15"/>
    </row>
    <row r="106" spans="1:16" s="9" customFormat="1" ht="35.25" customHeight="1">
      <c r="A106" s="51">
        <v>92211</v>
      </c>
      <c r="B106" s="48" t="s">
        <v>146</v>
      </c>
      <c r="C106" s="67">
        <v>0</v>
      </c>
      <c r="D106" s="49">
        <v>29000</v>
      </c>
      <c r="E106" s="49">
        <v>29000</v>
      </c>
      <c r="F106" s="49">
        <v>0</v>
      </c>
      <c r="G106" s="110" t="e">
        <f>F106/C106*100</f>
        <v>#DIV/0!</v>
      </c>
      <c r="H106" s="111">
        <f>F106/E106*100</f>
        <v>0</v>
      </c>
      <c r="I106" s="8"/>
      <c r="J106" s="8"/>
      <c r="K106" s="8"/>
      <c r="L106" s="8"/>
      <c r="M106" s="8"/>
      <c r="P106" s="15"/>
    </row>
    <row r="107" spans="1:16" s="9" customFormat="1" ht="24.75" customHeight="1">
      <c r="A107" s="491" t="s">
        <v>35</v>
      </c>
      <c r="B107" s="492"/>
      <c r="C107" s="131">
        <f>C105</f>
        <v>0</v>
      </c>
      <c r="D107" s="131">
        <f>D105</f>
        <v>29000</v>
      </c>
      <c r="E107" s="131">
        <f>E105</f>
        <v>29000</v>
      </c>
      <c r="F107" s="131">
        <f>F105</f>
        <v>0</v>
      </c>
      <c r="G107" s="318" t="e">
        <f>F107/C107*100</f>
        <v>#DIV/0!</v>
      </c>
      <c r="H107" s="319">
        <f>F107/E107*100</f>
        <v>0</v>
      </c>
      <c r="I107" s="8"/>
      <c r="J107" s="8"/>
      <c r="K107" s="8"/>
      <c r="L107" s="8"/>
      <c r="M107" s="8"/>
      <c r="P107" s="15"/>
    </row>
    <row r="108" spans="1:16" s="9" customFormat="1" ht="15">
      <c r="A108" s="32"/>
      <c r="B108" s="32"/>
      <c r="C108" s="32"/>
      <c r="D108" s="8"/>
      <c r="E108" s="8"/>
      <c r="F108" s="8"/>
      <c r="G108" s="8"/>
      <c r="H108" s="2"/>
      <c r="I108" s="8"/>
      <c r="J108" s="8"/>
      <c r="K108" s="8"/>
      <c r="L108" s="8"/>
      <c r="M108" s="8"/>
      <c r="P108" s="15"/>
    </row>
    <row r="109" spans="1:16" s="9" customFormat="1" ht="15">
      <c r="A109" s="9" t="s">
        <v>248</v>
      </c>
      <c r="B109" s="7"/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P109" s="15"/>
    </row>
    <row r="110" spans="1:16" s="9" customFormat="1" ht="15" customHeight="1">
      <c r="A110" s="444" t="s">
        <v>26</v>
      </c>
      <c r="B110" s="446" t="s">
        <v>0</v>
      </c>
      <c r="C110" s="446" t="s">
        <v>235</v>
      </c>
      <c r="D110" s="441" t="s">
        <v>132</v>
      </c>
      <c r="E110" s="441" t="s">
        <v>226</v>
      </c>
      <c r="F110" s="441" t="s">
        <v>241</v>
      </c>
      <c r="G110" s="441" t="s">
        <v>50</v>
      </c>
      <c r="H110" s="441" t="s">
        <v>50</v>
      </c>
      <c r="I110" s="8"/>
      <c r="J110" s="8"/>
      <c r="K110" s="8"/>
      <c r="L110" s="8"/>
      <c r="M110" s="8"/>
      <c r="P110" s="15"/>
    </row>
    <row r="111" spans="1:16" s="9" customFormat="1" ht="27" customHeight="1">
      <c r="A111" s="445"/>
      <c r="B111" s="447"/>
      <c r="C111" s="447"/>
      <c r="D111" s="442"/>
      <c r="E111" s="442"/>
      <c r="F111" s="442"/>
      <c r="G111" s="442"/>
      <c r="H111" s="442"/>
      <c r="I111" s="8"/>
      <c r="J111" s="8"/>
      <c r="K111" s="8"/>
      <c r="L111" s="8"/>
      <c r="M111" s="8"/>
      <c r="P111" s="15"/>
    </row>
    <row r="112" spans="1:16" s="9" customFormat="1" ht="15">
      <c r="A112" s="168">
        <v>1</v>
      </c>
      <c r="B112" s="168"/>
      <c r="C112" s="58">
        <v>2</v>
      </c>
      <c r="D112" s="59">
        <v>3</v>
      </c>
      <c r="E112" s="59">
        <v>4</v>
      </c>
      <c r="F112" s="59">
        <v>5</v>
      </c>
      <c r="G112" s="59" t="s">
        <v>51</v>
      </c>
      <c r="H112" s="59" t="s">
        <v>52</v>
      </c>
      <c r="I112" s="8"/>
      <c r="J112" s="8"/>
      <c r="K112" s="8"/>
      <c r="L112" s="8"/>
      <c r="M112" s="8"/>
      <c r="P112" s="15"/>
    </row>
    <row r="113" spans="1:16" s="9" customFormat="1" ht="15">
      <c r="A113" s="130">
        <v>922</v>
      </c>
      <c r="B113" s="114" t="s">
        <v>146</v>
      </c>
      <c r="C113" s="112">
        <f>C114</f>
        <v>0</v>
      </c>
      <c r="D113" s="112">
        <f>D114</f>
        <v>18000</v>
      </c>
      <c r="E113" s="112">
        <f>E114</f>
        <v>18000</v>
      </c>
      <c r="F113" s="112">
        <f>F114</f>
        <v>0</v>
      </c>
      <c r="G113" s="132" t="e">
        <f>F113/C113*100</f>
        <v>#DIV/0!</v>
      </c>
      <c r="H113" s="133">
        <f>F113/E113*100</f>
        <v>0</v>
      </c>
      <c r="I113" s="8"/>
      <c r="J113" s="8"/>
      <c r="K113" s="8"/>
      <c r="L113" s="8"/>
      <c r="M113" s="8"/>
      <c r="P113" s="15"/>
    </row>
    <row r="114" spans="1:13" s="31" customFormat="1" ht="15">
      <c r="A114" s="51">
        <v>92211</v>
      </c>
      <c r="B114" s="48" t="s">
        <v>146</v>
      </c>
      <c r="C114" s="67">
        <v>0</v>
      </c>
      <c r="D114" s="49">
        <v>18000</v>
      </c>
      <c r="E114" s="49">
        <v>18000</v>
      </c>
      <c r="F114" s="49">
        <v>0</v>
      </c>
      <c r="G114" s="110" t="e">
        <f>F114/C114*100</f>
        <v>#DIV/0!</v>
      </c>
      <c r="H114" s="111">
        <f>F114/E114*100</f>
        <v>0</v>
      </c>
      <c r="I114" s="19"/>
      <c r="J114" s="19"/>
      <c r="K114" s="19"/>
      <c r="L114" s="19"/>
      <c r="M114" s="19"/>
    </row>
    <row r="115" spans="1:13" s="31" customFormat="1" ht="15">
      <c r="A115" s="462" t="s">
        <v>36</v>
      </c>
      <c r="B115" s="463"/>
      <c r="C115" s="131">
        <f>C113</f>
        <v>0</v>
      </c>
      <c r="D115" s="131">
        <f>D113</f>
        <v>18000</v>
      </c>
      <c r="E115" s="131">
        <f>E113</f>
        <v>18000</v>
      </c>
      <c r="F115" s="131">
        <f>F113</f>
        <v>0</v>
      </c>
      <c r="G115" s="318" t="e">
        <f>F115/C115*100</f>
        <v>#DIV/0!</v>
      </c>
      <c r="H115" s="319">
        <f>F115/E115*100</f>
        <v>0</v>
      </c>
      <c r="I115" s="19"/>
      <c r="J115" s="19"/>
      <c r="K115" s="19"/>
      <c r="L115" s="19"/>
      <c r="M115" s="19"/>
    </row>
    <row r="116" spans="1:13" s="31" customFormat="1" ht="15">
      <c r="A116" s="7"/>
      <c r="B116" s="7"/>
      <c r="C116" s="7"/>
      <c r="D116" s="8"/>
      <c r="E116" s="8"/>
      <c r="F116" s="8"/>
      <c r="G116" s="8"/>
      <c r="H116" s="8"/>
      <c r="I116" s="19"/>
      <c r="J116" s="19"/>
      <c r="K116" s="19"/>
      <c r="L116" s="19"/>
      <c r="M116" s="19"/>
    </row>
    <row r="117" spans="1:13" s="31" customFormat="1" ht="15">
      <c r="A117" s="9" t="s">
        <v>229</v>
      </c>
      <c r="B117" s="7"/>
      <c r="C117" s="7"/>
      <c r="D117" s="8"/>
      <c r="E117" s="8"/>
      <c r="F117" s="8"/>
      <c r="G117" s="8"/>
      <c r="H117" s="8"/>
      <c r="I117" s="19"/>
      <c r="J117" s="19"/>
      <c r="K117" s="19"/>
      <c r="L117" s="19"/>
      <c r="M117" s="19"/>
    </row>
    <row r="118" spans="1:13" s="31" customFormat="1" ht="15" customHeight="1">
      <c r="A118" s="444" t="s">
        <v>26</v>
      </c>
      <c r="B118" s="446" t="s">
        <v>0</v>
      </c>
      <c r="C118" s="446" t="s">
        <v>235</v>
      </c>
      <c r="D118" s="441" t="s">
        <v>132</v>
      </c>
      <c r="E118" s="441" t="s">
        <v>226</v>
      </c>
      <c r="F118" s="441" t="s">
        <v>241</v>
      </c>
      <c r="G118" s="441" t="s">
        <v>50</v>
      </c>
      <c r="H118" s="441" t="s">
        <v>50</v>
      </c>
      <c r="I118" s="19"/>
      <c r="J118" s="19"/>
      <c r="K118" s="19"/>
      <c r="L118" s="19"/>
      <c r="M118" s="19"/>
    </row>
    <row r="119" spans="1:13" s="31" customFormat="1" ht="32.25" customHeight="1">
      <c r="A119" s="445"/>
      <c r="B119" s="447"/>
      <c r="C119" s="447"/>
      <c r="D119" s="442"/>
      <c r="E119" s="442"/>
      <c r="F119" s="442"/>
      <c r="G119" s="442"/>
      <c r="H119" s="442"/>
      <c r="I119" s="19"/>
      <c r="J119" s="19"/>
      <c r="K119" s="19"/>
      <c r="L119" s="19"/>
      <c r="M119" s="19"/>
    </row>
    <row r="120" spans="1:13" s="31" customFormat="1" ht="15">
      <c r="A120" s="168">
        <v>1</v>
      </c>
      <c r="B120" s="168"/>
      <c r="C120" s="58">
        <v>2</v>
      </c>
      <c r="D120" s="59">
        <v>3</v>
      </c>
      <c r="E120" s="59">
        <v>4</v>
      </c>
      <c r="F120" s="59">
        <v>5</v>
      </c>
      <c r="G120" s="59" t="s">
        <v>51</v>
      </c>
      <c r="H120" s="59" t="s">
        <v>52</v>
      </c>
      <c r="I120" s="19"/>
      <c r="J120" s="19"/>
      <c r="K120" s="19"/>
      <c r="L120" s="19"/>
      <c r="M120" s="19"/>
    </row>
    <row r="121" spans="1:13" s="31" customFormat="1" ht="15">
      <c r="A121" s="130">
        <v>922</v>
      </c>
      <c r="B121" s="114" t="s">
        <v>146</v>
      </c>
      <c r="C121" s="112">
        <f>C122</f>
        <v>0</v>
      </c>
      <c r="D121" s="112">
        <f>D122</f>
        <v>18000</v>
      </c>
      <c r="E121" s="112">
        <f>E122</f>
        <v>99000</v>
      </c>
      <c r="F121" s="112">
        <f>F122</f>
        <v>0</v>
      </c>
      <c r="G121" s="132" t="e">
        <f>F121/C121*100</f>
        <v>#DIV/0!</v>
      </c>
      <c r="H121" s="133">
        <f>F121/E121*100</f>
        <v>0</v>
      </c>
      <c r="I121" s="19"/>
      <c r="J121" s="19"/>
      <c r="K121" s="19"/>
      <c r="L121" s="19"/>
      <c r="M121" s="19"/>
    </row>
    <row r="122" spans="1:13" s="31" customFormat="1" ht="15" customHeight="1">
      <c r="A122" s="51">
        <v>92211</v>
      </c>
      <c r="B122" s="48" t="s">
        <v>146</v>
      </c>
      <c r="C122" s="67">
        <v>0</v>
      </c>
      <c r="D122" s="49">
        <v>18000</v>
      </c>
      <c r="E122" s="49">
        <v>99000</v>
      </c>
      <c r="F122" s="49">
        <v>0</v>
      </c>
      <c r="G122" s="110" t="e">
        <f>F122/C122*100</f>
        <v>#DIV/0!</v>
      </c>
      <c r="H122" s="111">
        <f>F122/E122*100</f>
        <v>0</v>
      </c>
      <c r="I122" s="19"/>
      <c r="J122" s="19"/>
      <c r="K122" s="19"/>
      <c r="L122" s="19"/>
      <c r="M122" s="19"/>
    </row>
    <row r="123" spans="1:13" s="69" customFormat="1" ht="15" customHeight="1">
      <c r="A123" s="462" t="s">
        <v>36</v>
      </c>
      <c r="B123" s="463"/>
      <c r="C123" s="131">
        <f>C121</f>
        <v>0</v>
      </c>
      <c r="D123" s="131">
        <f>D121</f>
        <v>18000</v>
      </c>
      <c r="E123" s="131">
        <f>E121</f>
        <v>99000</v>
      </c>
      <c r="F123" s="131">
        <f>F121</f>
        <v>0</v>
      </c>
      <c r="G123" s="318" t="e">
        <f>F123/C123*100</f>
        <v>#DIV/0!</v>
      </c>
      <c r="H123" s="319">
        <f>F123/E123*100</f>
        <v>0</v>
      </c>
      <c r="I123" s="19"/>
      <c r="J123" s="19"/>
      <c r="K123" s="19"/>
      <c r="L123" s="19"/>
      <c r="M123" s="19"/>
    </row>
    <row r="124" spans="1:13" s="195" customFormat="1" ht="15" customHeight="1">
      <c r="A124" s="356"/>
      <c r="B124" s="356"/>
      <c r="C124" s="357"/>
      <c r="D124" s="357"/>
      <c r="E124" s="357"/>
      <c r="F124" s="357"/>
      <c r="G124" s="357"/>
      <c r="H124" s="357"/>
      <c r="I124" s="20"/>
      <c r="J124" s="20"/>
      <c r="K124" s="20"/>
      <c r="L124" s="20"/>
      <c r="M124" s="20"/>
    </row>
    <row r="125" spans="1:13" s="195" customFormat="1" ht="15" customHeight="1">
      <c r="A125" s="358"/>
      <c r="B125" s="358"/>
      <c r="C125" s="359"/>
      <c r="D125" s="359"/>
      <c r="E125" s="359"/>
      <c r="F125" s="359"/>
      <c r="G125" s="359"/>
      <c r="H125" s="359"/>
      <c r="I125" s="20"/>
      <c r="J125" s="20"/>
      <c r="K125" s="20"/>
      <c r="L125" s="20"/>
      <c r="M125" s="20"/>
    </row>
    <row r="126" spans="1:13" s="69" customFormat="1" ht="15" customHeight="1">
      <c r="A126" s="466" t="s">
        <v>39</v>
      </c>
      <c r="B126" s="467"/>
      <c r="C126" s="138">
        <f>C76</f>
        <v>8129803</v>
      </c>
      <c r="D126" s="138" t="e">
        <f>D76</f>
        <v>#REF!</v>
      </c>
      <c r="E126" s="138">
        <f>E76</f>
        <v>8351805</v>
      </c>
      <c r="F126" s="138">
        <f>F76</f>
        <v>8610680.41</v>
      </c>
      <c r="G126" s="138">
        <f>F126/C126*100</f>
        <v>105.91499461918082</v>
      </c>
      <c r="H126" s="138">
        <f>F126/E126*100</f>
        <v>103.09963427067564</v>
      </c>
      <c r="I126" s="19"/>
      <c r="J126" s="19"/>
      <c r="K126" s="19"/>
      <c r="L126" s="19"/>
      <c r="M126" s="19"/>
    </row>
    <row r="127" spans="1:13" s="69" customFormat="1" ht="15" customHeight="1">
      <c r="A127" s="466" t="s">
        <v>40</v>
      </c>
      <c r="B127" s="467"/>
      <c r="C127" s="188">
        <f>C76+C123+C115+C107</f>
        <v>8129803</v>
      </c>
      <c r="D127" s="188" t="e">
        <f>D76+D123+D115+D107</f>
        <v>#REF!</v>
      </c>
      <c r="E127" s="188">
        <f>E76+E123+E115+E107</f>
        <v>8497805</v>
      </c>
      <c r="F127" s="188">
        <f>F76+F123+F115+F107</f>
        <v>8610680.41</v>
      </c>
      <c r="G127" s="138">
        <f>F127/C127*100</f>
        <v>105.91499461918082</v>
      </c>
      <c r="H127" s="138">
        <f>F127/E127*100</f>
        <v>101.32828901110346</v>
      </c>
      <c r="I127" s="19"/>
      <c r="J127" s="19"/>
      <c r="K127" s="19"/>
      <c r="L127" s="19"/>
      <c r="M127" s="19"/>
    </row>
    <row r="128" spans="1:16" s="9" customFormat="1" ht="15">
      <c r="A128" s="2"/>
      <c r="B128" s="2"/>
      <c r="C128" s="2"/>
      <c r="D128" s="2"/>
      <c r="E128" s="2"/>
      <c r="F128" s="2"/>
      <c r="G128" s="10"/>
      <c r="H128" s="2"/>
      <c r="I128" s="8"/>
      <c r="J128" s="8"/>
      <c r="K128" s="8"/>
      <c r="L128" s="8"/>
      <c r="M128" s="8"/>
      <c r="P128" s="15"/>
    </row>
    <row r="129" spans="1:13" s="69" customFormat="1" ht="15" customHeight="1">
      <c r="A129" s="2"/>
      <c r="B129" s="2"/>
      <c r="C129" s="2"/>
      <c r="D129" s="2"/>
      <c r="E129" s="2"/>
      <c r="F129" s="2"/>
      <c r="G129" s="10"/>
      <c r="H129" s="2"/>
      <c r="I129" s="19"/>
      <c r="J129" s="19"/>
      <c r="K129" s="19"/>
      <c r="L129" s="19"/>
      <c r="M129" s="19"/>
    </row>
    <row r="130" spans="1:13" s="69" customFormat="1" ht="15" customHeight="1" hidden="1">
      <c r="A130" s="2"/>
      <c r="B130" s="2"/>
      <c r="C130" s="2"/>
      <c r="D130" s="2"/>
      <c r="E130" s="2"/>
      <c r="F130" s="2"/>
      <c r="G130" s="10"/>
      <c r="H130" s="2"/>
      <c r="I130" s="19"/>
      <c r="J130" s="19"/>
      <c r="K130" s="19"/>
      <c r="L130" s="19"/>
      <c r="M130" s="19"/>
    </row>
    <row r="131" spans="1:13" s="69" customFormat="1" ht="39.75" customHeight="1">
      <c r="A131" s="495" t="s">
        <v>24</v>
      </c>
      <c r="B131" s="495"/>
      <c r="C131" s="495"/>
      <c r="D131" s="495"/>
      <c r="E131" s="495"/>
      <c r="F131" s="495"/>
      <c r="G131" s="495"/>
      <c r="H131" s="495"/>
      <c r="I131" s="19"/>
      <c r="J131" s="19"/>
      <c r="K131" s="19"/>
      <c r="L131" s="19"/>
      <c r="M131" s="19"/>
    </row>
    <row r="132" spans="1:13" s="69" customFormat="1" ht="15" customHeight="1">
      <c r="A132" s="7"/>
      <c r="B132" s="7"/>
      <c r="C132" s="7"/>
      <c r="D132" s="8"/>
      <c r="E132" s="8"/>
      <c r="F132" s="8"/>
      <c r="G132" s="8"/>
      <c r="H132" s="8"/>
      <c r="I132" s="19"/>
      <c r="J132" s="19"/>
      <c r="K132" s="19"/>
      <c r="L132" s="19"/>
      <c r="M132" s="19"/>
    </row>
    <row r="133" spans="1:13" s="342" customFormat="1" ht="25.5" customHeight="1">
      <c r="A133" s="363" t="s">
        <v>153</v>
      </c>
      <c r="B133" s="360"/>
      <c r="C133" s="361">
        <f>C135+C173+C184</f>
        <v>522740.8</v>
      </c>
      <c r="D133" s="361">
        <f>D135+D173+D184</f>
        <v>580220</v>
      </c>
      <c r="E133" s="361">
        <f>E135+E173+E184</f>
        <v>585700</v>
      </c>
      <c r="F133" s="361">
        <f>F135+F173+F184</f>
        <v>541137.3</v>
      </c>
      <c r="G133" s="361">
        <f>F133/C133*100</f>
        <v>103.51923936298833</v>
      </c>
      <c r="H133" s="361">
        <f>F133/E133*100</f>
        <v>92.39154857435548</v>
      </c>
      <c r="I133" s="341"/>
      <c r="J133" s="341"/>
      <c r="K133" s="341"/>
      <c r="L133" s="341"/>
      <c r="M133" s="341"/>
    </row>
    <row r="134" spans="1:13" s="342" customFormat="1" ht="13.5" customHeight="1">
      <c r="A134" s="339"/>
      <c r="B134" s="340"/>
      <c r="C134" s="340"/>
      <c r="D134" s="340"/>
      <c r="E134" s="340"/>
      <c r="F134" s="340"/>
      <c r="G134" s="340"/>
      <c r="H134" s="340"/>
      <c r="I134" s="341"/>
      <c r="J134" s="341"/>
      <c r="K134" s="341"/>
      <c r="L134" s="341"/>
      <c r="M134" s="341"/>
    </row>
    <row r="135" spans="1:13" s="69" customFormat="1" ht="29.25" customHeight="1">
      <c r="A135" s="468" t="s">
        <v>152</v>
      </c>
      <c r="B135" s="487"/>
      <c r="C135" s="346">
        <f aca="true" t="shared" si="6" ref="C135:H135">C170</f>
        <v>481676.8</v>
      </c>
      <c r="D135" s="346">
        <f t="shared" si="6"/>
        <v>548720</v>
      </c>
      <c r="E135" s="346">
        <f t="shared" si="6"/>
        <v>554200</v>
      </c>
      <c r="F135" s="346">
        <f t="shared" si="6"/>
        <v>516230.92000000004</v>
      </c>
      <c r="G135" s="346">
        <f t="shared" si="6"/>
        <v>107.1737148228854</v>
      </c>
      <c r="H135" s="346">
        <f t="shared" si="6"/>
        <v>93.14884879105017</v>
      </c>
      <c r="I135" s="19"/>
      <c r="J135" s="19"/>
      <c r="K135" s="19"/>
      <c r="L135" s="19"/>
      <c r="M135" s="19"/>
    </row>
    <row r="136" spans="1:13" s="69" customFormat="1" ht="15" customHeight="1">
      <c r="A136" s="9" t="s">
        <v>220</v>
      </c>
      <c r="B136" s="7"/>
      <c r="C136" s="7"/>
      <c r="D136" s="8"/>
      <c r="E136" s="8"/>
      <c r="F136" s="8"/>
      <c r="G136" s="8"/>
      <c r="H136" s="8"/>
      <c r="I136" s="19"/>
      <c r="J136" s="19"/>
      <c r="K136" s="19"/>
      <c r="L136" s="19"/>
      <c r="M136" s="19"/>
    </row>
    <row r="137" spans="1:16" s="9" customFormat="1" ht="15" customHeight="1">
      <c r="A137" s="444" t="s">
        <v>53</v>
      </c>
      <c r="B137" s="446" t="s">
        <v>0</v>
      </c>
      <c r="C137" s="446" t="s">
        <v>235</v>
      </c>
      <c r="D137" s="441" t="s">
        <v>132</v>
      </c>
      <c r="E137" s="441" t="s">
        <v>226</v>
      </c>
      <c r="F137" s="441" t="s">
        <v>241</v>
      </c>
      <c r="G137" s="441" t="s">
        <v>50</v>
      </c>
      <c r="H137" s="441" t="s">
        <v>50</v>
      </c>
      <c r="I137" s="8"/>
      <c r="J137" s="8"/>
      <c r="K137" s="8"/>
      <c r="L137" s="8"/>
      <c r="M137" s="8"/>
      <c r="P137" s="15"/>
    </row>
    <row r="138" spans="1:13" s="69" customFormat="1" ht="31.5" customHeight="1">
      <c r="A138" s="445"/>
      <c r="B138" s="447"/>
      <c r="C138" s="447"/>
      <c r="D138" s="442"/>
      <c r="E138" s="442"/>
      <c r="F138" s="442"/>
      <c r="G138" s="442"/>
      <c r="H138" s="442"/>
      <c r="I138" s="19"/>
      <c r="J138" s="19"/>
      <c r="K138" s="19"/>
      <c r="L138" s="19"/>
      <c r="M138" s="19"/>
    </row>
    <row r="139" spans="1:16" s="9" customFormat="1" ht="15">
      <c r="A139" s="450">
        <v>1</v>
      </c>
      <c r="B139" s="450"/>
      <c r="C139" s="58">
        <v>2</v>
      </c>
      <c r="D139" s="59">
        <v>3</v>
      </c>
      <c r="E139" s="59">
        <v>4</v>
      </c>
      <c r="F139" s="59">
        <v>5</v>
      </c>
      <c r="G139" s="59" t="s">
        <v>51</v>
      </c>
      <c r="H139" s="59" t="s">
        <v>52</v>
      </c>
      <c r="I139" s="8"/>
      <c r="J139" s="8"/>
      <c r="K139" s="8"/>
      <c r="L139" s="8"/>
      <c r="M139" s="8"/>
      <c r="P139" s="15"/>
    </row>
    <row r="140" spans="1:13" s="69" customFormat="1" ht="15" customHeight="1">
      <c r="A140" s="230">
        <v>32</v>
      </c>
      <c r="B140" s="215" t="s">
        <v>8</v>
      </c>
      <c r="C140" s="216">
        <f>SUM(C141,C145,C152,C161,C163)</f>
        <v>478713.8</v>
      </c>
      <c r="D140" s="216">
        <f>SUM(D141,D145,D152,D161,D163)</f>
        <v>545720</v>
      </c>
      <c r="E140" s="216">
        <f>SUM(E141,E145,E152,E161,E163)</f>
        <v>551200</v>
      </c>
      <c r="F140" s="216">
        <f>SUM(F141,F145,F152,F161,F163)</f>
        <v>511605.89</v>
      </c>
      <c r="G140" s="217">
        <f aca="true" t="shared" si="7" ref="G140:G147">F140/C140*100</f>
        <v>106.87092997945746</v>
      </c>
      <c r="H140" s="231">
        <f aca="true" t="shared" si="8" ref="H140:H170">F140/E140*100</f>
        <v>92.81674346879537</v>
      </c>
      <c r="I140" s="19"/>
      <c r="J140" s="19"/>
      <c r="K140" s="19"/>
      <c r="L140" s="19"/>
      <c r="M140" s="19"/>
    </row>
    <row r="141" spans="1:13" s="69" customFormat="1" ht="15" customHeight="1">
      <c r="A141" s="140">
        <v>321</v>
      </c>
      <c r="B141" s="116" t="s">
        <v>9</v>
      </c>
      <c r="C141" s="145">
        <f>SUM(C142:C144)</f>
        <v>11925</v>
      </c>
      <c r="D141" s="145">
        <f>SUM(D142:D144)</f>
        <v>30400</v>
      </c>
      <c r="E141" s="145">
        <f>SUM(E142:E144)</f>
        <v>28400</v>
      </c>
      <c r="F141" s="145">
        <f>SUM(F142:F144)</f>
        <v>23642.53</v>
      </c>
      <c r="G141" s="113">
        <f t="shared" si="7"/>
        <v>198.26020964360586</v>
      </c>
      <c r="H141" s="232">
        <f t="shared" si="8"/>
        <v>83.24834507042253</v>
      </c>
      <c r="I141" s="19"/>
      <c r="J141" s="19"/>
      <c r="K141" s="19"/>
      <c r="L141" s="19"/>
      <c r="M141" s="19"/>
    </row>
    <row r="142" spans="1:13" s="69" customFormat="1" ht="15" customHeight="1">
      <c r="A142" s="16">
        <v>3211</v>
      </c>
      <c r="B142" s="17" t="s">
        <v>58</v>
      </c>
      <c r="C142" s="192">
        <f>3500+2637+693</f>
        <v>6830</v>
      </c>
      <c r="D142" s="18">
        <v>23600</v>
      </c>
      <c r="E142" s="18">
        <v>21600</v>
      </c>
      <c r="F142" s="18">
        <v>18786.53</v>
      </c>
      <c r="G142" s="25">
        <f t="shared" si="7"/>
        <v>275.05900439238656</v>
      </c>
      <c r="H142" s="261">
        <f t="shared" si="8"/>
        <v>86.97467592592591</v>
      </c>
      <c r="I142" s="19"/>
      <c r="J142" s="19"/>
      <c r="K142" s="19"/>
      <c r="L142" s="19"/>
      <c r="M142" s="19"/>
    </row>
    <row r="143" spans="1:16" s="9" customFormat="1" ht="15">
      <c r="A143" s="16">
        <v>3213</v>
      </c>
      <c r="B143" s="17" t="s">
        <v>94</v>
      </c>
      <c r="C143" s="192">
        <v>5095</v>
      </c>
      <c r="D143" s="18">
        <v>6000</v>
      </c>
      <c r="E143" s="18">
        <v>6000</v>
      </c>
      <c r="F143" s="18">
        <v>4394</v>
      </c>
      <c r="G143" s="25">
        <f t="shared" si="7"/>
        <v>86.24141315014721</v>
      </c>
      <c r="H143" s="261">
        <f t="shared" si="8"/>
        <v>73.23333333333333</v>
      </c>
      <c r="I143" s="8"/>
      <c r="J143" s="8"/>
      <c r="K143" s="8"/>
      <c r="L143" s="8"/>
      <c r="M143" s="8"/>
      <c r="P143" s="15"/>
    </row>
    <row r="144" spans="1:16" s="9" customFormat="1" ht="30">
      <c r="A144" s="16">
        <v>3214</v>
      </c>
      <c r="B144" s="17" t="s">
        <v>148</v>
      </c>
      <c r="C144" s="192">
        <v>0</v>
      </c>
      <c r="D144" s="18">
        <v>800</v>
      </c>
      <c r="E144" s="18">
        <v>800</v>
      </c>
      <c r="F144" s="18">
        <v>462</v>
      </c>
      <c r="G144" s="25" t="e">
        <f t="shared" si="7"/>
        <v>#DIV/0!</v>
      </c>
      <c r="H144" s="261">
        <f t="shared" si="8"/>
        <v>57.75</v>
      </c>
      <c r="I144" s="8"/>
      <c r="J144" s="8"/>
      <c r="K144" s="8"/>
      <c r="L144" s="8"/>
      <c r="M144" s="8"/>
      <c r="P144" s="15"/>
    </row>
    <row r="145" spans="1:16" s="9" customFormat="1" ht="15">
      <c r="A145" s="140">
        <v>322</v>
      </c>
      <c r="B145" s="116" t="s">
        <v>11</v>
      </c>
      <c r="C145" s="145">
        <f>SUM(C146:C151)</f>
        <v>300407</v>
      </c>
      <c r="D145" s="145">
        <f>SUM(D146:D151)</f>
        <v>319600</v>
      </c>
      <c r="E145" s="145">
        <f>SUM(E146:E151)</f>
        <v>325580</v>
      </c>
      <c r="F145" s="145">
        <f>SUM(F146:F151)</f>
        <v>316888.85000000003</v>
      </c>
      <c r="G145" s="113">
        <f t="shared" si="7"/>
        <v>105.486506639326</v>
      </c>
      <c r="H145" s="232">
        <f t="shared" si="8"/>
        <v>97.3305639167025</v>
      </c>
      <c r="I145" s="8"/>
      <c r="J145" s="8"/>
      <c r="K145" s="8"/>
      <c r="L145" s="8"/>
      <c r="M145" s="8"/>
      <c r="P145" s="15"/>
    </row>
    <row r="146" spans="1:16" s="9" customFormat="1" ht="15">
      <c r="A146" s="16" t="s">
        <v>60</v>
      </c>
      <c r="B146" s="17" t="s">
        <v>12</v>
      </c>
      <c r="C146" s="98">
        <f>24234+4153+17188+9305+6302</f>
        <v>61182</v>
      </c>
      <c r="D146" s="96">
        <v>66300</v>
      </c>
      <c r="E146" s="96">
        <v>66300</v>
      </c>
      <c r="F146" s="96">
        <v>60229.5</v>
      </c>
      <c r="G146" s="186">
        <f t="shared" si="7"/>
        <v>98.44316955967442</v>
      </c>
      <c r="H146" s="261">
        <f t="shared" si="8"/>
        <v>90.84389140271493</v>
      </c>
      <c r="I146" s="8"/>
      <c r="J146" s="8"/>
      <c r="K146" s="8"/>
      <c r="L146" s="8"/>
      <c r="M146" s="8"/>
      <c r="P146" s="15"/>
    </row>
    <row r="147" spans="1:16" s="9" customFormat="1" ht="15">
      <c r="A147" s="16">
        <v>3222</v>
      </c>
      <c r="B147" s="17" t="s">
        <v>95</v>
      </c>
      <c r="C147" s="98">
        <v>49</v>
      </c>
      <c r="D147" s="96">
        <v>1000</v>
      </c>
      <c r="E147" s="96">
        <v>1000</v>
      </c>
      <c r="F147" s="96">
        <v>231.44</v>
      </c>
      <c r="G147" s="25">
        <f t="shared" si="7"/>
        <v>472.3265306122449</v>
      </c>
      <c r="H147" s="261">
        <f t="shared" si="8"/>
        <v>23.144000000000002</v>
      </c>
      <c r="I147" s="8"/>
      <c r="J147" s="8"/>
      <c r="K147" s="8"/>
      <c r="L147" s="8"/>
      <c r="M147" s="8"/>
      <c r="P147" s="15"/>
    </row>
    <row r="148" spans="1:16" s="9" customFormat="1" ht="15">
      <c r="A148" s="16" t="s">
        <v>61</v>
      </c>
      <c r="B148" s="17" t="s">
        <v>62</v>
      </c>
      <c r="C148" s="96">
        <f>112866+265+91659</f>
        <v>204790</v>
      </c>
      <c r="D148" s="96">
        <v>218300</v>
      </c>
      <c r="E148" s="96">
        <v>223300</v>
      </c>
      <c r="F148" s="262">
        <v>220801.26</v>
      </c>
      <c r="G148" s="25">
        <f aca="true" t="shared" si="9" ref="G148:G169">F148/C148*100</f>
        <v>107.81837980370135</v>
      </c>
      <c r="H148" s="261">
        <f t="shared" si="8"/>
        <v>98.88099417823555</v>
      </c>
      <c r="I148" s="8"/>
      <c r="J148" s="8"/>
      <c r="K148" s="8"/>
      <c r="L148" s="8"/>
      <c r="M148" s="8"/>
      <c r="P148" s="15"/>
    </row>
    <row r="149" spans="1:16" s="9" customFormat="1" ht="30">
      <c r="A149" s="16" t="s">
        <v>63</v>
      </c>
      <c r="B149" s="17" t="s">
        <v>109</v>
      </c>
      <c r="C149" s="96">
        <f>23851+3235+1137</f>
        <v>28223</v>
      </c>
      <c r="D149" s="96">
        <v>26000</v>
      </c>
      <c r="E149" s="96">
        <v>26980</v>
      </c>
      <c r="F149" s="262">
        <v>22941.05</v>
      </c>
      <c r="G149" s="25">
        <f t="shared" si="9"/>
        <v>81.28494490309322</v>
      </c>
      <c r="H149" s="261">
        <f t="shared" si="8"/>
        <v>85.02983691623425</v>
      </c>
      <c r="I149" s="8"/>
      <c r="J149" s="8"/>
      <c r="K149" s="8"/>
      <c r="L149" s="8"/>
      <c r="M149" s="8"/>
      <c r="P149" s="15"/>
    </row>
    <row r="150" spans="1:16" s="9" customFormat="1" ht="15">
      <c r="A150" s="16">
        <v>3225</v>
      </c>
      <c r="B150" s="17" t="s">
        <v>149</v>
      </c>
      <c r="C150" s="96">
        <v>1405</v>
      </c>
      <c r="D150" s="96">
        <v>5000</v>
      </c>
      <c r="E150" s="96">
        <v>5000</v>
      </c>
      <c r="F150" s="262">
        <v>4907.15</v>
      </c>
      <c r="G150" s="25">
        <f t="shared" si="9"/>
        <v>349.2633451957295</v>
      </c>
      <c r="H150" s="261">
        <f t="shared" si="8"/>
        <v>98.14299999999999</v>
      </c>
      <c r="I150" s="8"/>
      <c r="J150" s="8"/>
      <c r="K150" s="8"/>
      <c r="L150" s="8"/>
      <c r="M150" s="8"/>
      <c r="P150" s="15"/>
    </row>
    <row r="151" spans="1:16" s="9" customFormat="1" ht="15">
      <c r="A151" s="16">
        <v>3227</v>
      </c>
      <c r="B151" s="17" t="s">
        <v>97</v>
      </c>
      <c r="C151" s="96">
        <v>4758</v>
      </c>
      <c r="D151" s="96">
        <v>3000</v>
      </c>
      <c r="E151" s="96">
        <v>3000</v>
      </c>
      <c r="F151" s="262">
        <v>7778.45</v>
      </c>
      <c r="G151" s="25">
        <f t="shared" si="9"/>
        <v>163.48150483396384</v>
      </c>
      <c r="H151" s="261">
        <f t="shared" si="8"/>
        <v>259.2816666666667</v>
      </c>
      <c r="I151" s="8"/>
      <c r="J151" s="8"/>
      <c r="K151" s="8"/>
      <c r="L151" s="8"/>
      <c r="M151" s="8"/>
      <c r="P151" s="15"/>
    </row>
    <row r="152" spans="1:16" s="9" customFormat="1" ht="15">
      <c r="A152" s="140">
        <v>323</v>
      </c>
      <c r="B152" s="116" t="s">
        <v>13</v>
      </c>
      <c r="C152" s="145">
        <f>SUM(C153:C160)</f>
        <v>162608.8</v>
      </c>
      <c r="D152" s="145">
        <f>SUM(D153:D160)</f>
        <v>189320</v>
      </c>
      <c r="E152" s="145">
        <f>SUM(E153:E160)</f>
        <v>191220</v>
      </c>
      <c r="F152" s="145">
        <f>SUM(F153:F160)</f>
        <v>169774.51</v>
      </c>
      <c r="G152" s="113">
        <f t="shared" si="9"/>
        <v>104.40671722563602</v>
      </c>
      <c r="H152" s="232">
        <f t="shared" si="8"/>
        <v>88.78491266603912</v>
      </c>
      <c r="I152" s="8"/>
      <c r="J152" s="8"/>
      <c r="K152" s="8"/>
      <c r="L152" s="8"/>
      <c r="M152" s="8"/>
      <c r="P152" s="15"/>
    </row>
    <row r="153" spans="1:16" s="9" customFormat="1" ht="15">
      <c r="A153" s="16">
        <v>3231</v>
      </c>
      <c r="B153" s="17" t="s">
        <v>110</v>
      </c>
      <c r="C153" s="96">
        <f>19827+1862+20033</f>
        <v>41722</v>
      </c>
      <c r="D153" s="96">
        <v>85000</v>
      </c>
      <c r="E153" s="96">
        <v>85000</v>
      </c>
      <c r="F153" s="262">
        <v>41140.98</v>
      </c>
      <c r="G153" s="25">
        <f t="shared" si="9"/>
        <v>98.60740137097935</v>
      </c>
      <c r="H153" s="261">
        <f t="shared" si="8"/>
        <v>48.40115294117647</v>
      </c>
      <c r="I153" s="8"/>
      <c r="J153" s="8"/>
      <c r="K153" s="8"/>
      <c r="L153" s="8"/>
      <c r="M153" s="8"/>
      <c r="P153" s="15"/>
    </row>
    <row r="154" spans="1:16" s="9" customFormat="1" ht="15" customHeight="1">
      <c r="A154" s="16">
        <v>3232</v>
      </c>
      <c r="B154" s="17" t="s">
        <v>69</v>
      </c>
      <c r="C154" s="96">
        <f>22500+6175+31842</f>
        <v>60517</v>
      </c>
      <c r="D154" s="96">
        <v>32920</v>
      </c>
      <c r="E154" s="96">
        <v>32920</v>
      </c>
      <c r="F154" s="262">
        <v>45827.71</v>
      </c>
      <c r="G154" s="25">
        <f t="shared" si="9"/>
        <v>75.72700232992382</v>
      </c>
      <c r="H154" s="261">
        <f t="shared" si="8"/>
        <v>139.2093256379101</v>
      </c>
      <c r="I154" s="8"/>
      <c r="J154" s="8"/>
      <c r="K154" s="8"/>
      <c r="L154" s="8"/>
      <c r="M154" s="8"/>
      <c r="P154" s="15"/>
    </row>
    <row r="155" spans="1:13" s="69" customFormat="1" ht="15" customHeight="1">
      <c r="A155" s="16">
        <v>3234</v>
      </c>
      <c r="B155" s="17" t="s">
        <v>71</v>
      </c>
      <c r="C155" s="96">
        <f>6209+4500+4240+3472.8</f>
        <v>18421.8</v>
      </c>
      <c r="D155" s="96">
        <v>15500</v>
      </c>
      <c r="E155" s="96">
        <v>18500</v>
      </c>
      <c r="F155" s="96">
        <v>18946.6</v>
      </c>
      <c r="G155" s="25">
        <f t="shared" si="9"/>
        <v>102.84879870588107</v>
      </c>
      <c r="H155" s="261">
        <f t="shared" si="8"/>
        <v>102.41405405405403</v>
      </c>
      <c r="I155" s="19"/>
      <c r="J155" s="19"/>
      <c r="K155" s="19"/>
      <c r="L155" s="19"/>
      <c r="M155" s="19"/>
    </row>
    <row r="156" spans="1:13" s="69" customFormat="1" ht="15" customHeight="1">
      <c r="A156" s="16">
        <v>3235</v>
      </c>
      <c r="B156" s="17" t="s">
        <v>150</v>
      </c>
      <c r="C156" s="96">
        <v>14752</v>
      </c>
      <c r="D156" s="96">
        <v>15000</v>
      </c>
      <c r="E156" s="96">
        <v>14500</v>
      </c>
      <c r="F156" s="96">
        <v>16829</v>
      </c>
      <c r="G156" s="25">
        <f t="shared" si="9"/>
        <v>114.07944685466379</v>
      </c>
      <c r="H156" s="261">
        <f t="shared" si="8"/>
        <v>116.06206896551726</v>
      </c>
      <c r="I156" s="19"/>
      <c r="J156" s="19"/>
      <c r="K156" s="19"/>
      <c r="L156" s="19"/>
      <c r="M156" s="19"/>
    </row>
    <row r="157" spans="1:16" s="9" customFormat="1" ht="30">
      <c r="A157" s="16">
        <v>3236</v>
      </c>
      <c r="B157" s="17" t="s">
        <v>151</v>
      </c>
      <c r="C157" s="96">
        <v>7880</v>
      </c>
      <c r="D157" s="96">
        <v>18000</v>
      </c>
      <c r="E157" s="96">
        <v>18000</v>
      </c>
      <c r="F157" s="262">
        <v>19530</v>
      </c>
      <c r="G157" s="25">
        <f t="shared" si="9"/>
        <v>247.84263959390861</v>
      </c>
      <c r="H157" s="261">
        <f t="shared" si="8"/>
        <v>108.5</v>
      </c>
      <c r="I157" s="8"/>
      <c r="J157" s="8"/>
      <c r="K157" s="8"/>
      <c r="L157" s="8"/>
      <c r="M157" s="8"/>
      <c r="P157" s="15"/>
    </row>
    <row r="158" spans="1:16" s="9" customFormat="1" ht="15.75" customHeight="1">
      <c r="A158" s="16">
        <v>3237</v>
      </c>
      <c r="B158" s="17" t="s">
        <v>100</v>
      </c>
      <c r="C158" s="96">
        <v>465</v>
      </c>
      <c r="D158" s="96">
        <v>1000</v>
      </c>
      <c r="E158" s="96">
        <v>1000</v>
      </c>
      <c r="F158" s="262">
        <v>0</v>
      </c>
      <c r="G158" s="25">
        <f t="shared" si="9"/>
        <v>0</v>
      </c>
      <c r="H158" s="261">
        <f t="shared" si="8"/>
        <v>0</v>
      </c>
      <c r="I158" s="8"/>
      <c r="J158" s="8"/>
      <c r="K158" s="8"/>
      <c r="L158" s="8"/>
      <c r="M158" s="8"/>
      <c r="P158" s="15"/>
    </row>
    <row r="159" spans="1:16" s="9" customFormat="1" ht="15.75" customHeight="1">
      <c r="A159" s="16">
        <v>3238</v>
      </c>
      <c r="B159" s="17" t="s">
        <v>73</v>
      </c>
      <c r="C159" s="96">
        <f>2850+11400+3437</f>
        <v>17687</v>
      </c>
      <c r="D159" s="96">
        <v>19600</v>
      </c>
      <c r="E159" s="96">
        <v>19600</v>
      </c>
      <c r="F159" s="262">
        <v>19195.72</v>
      </c>
      <c r="G159" s="25">
        <f t="shared" si="9"/>
        <v>108.53010685814442</v>
      </c>
      <c r="H159" s="261">
        <f t="shared" si="8"/>
        <v>97.93734693877552</v>
      </c>
      <c r="I159" s="8"/>
      <c r="J159" s="8"/>
      <c r="K159" s="8"/>
      <c r="L159" s="8"/>
      <c r="M159" s="8"/>
      <c r="P159" s="15"/>
    </row>
    <row r="160" spans="1:16" s="9" customFormat="1" ht="15.75" customHeight="1">
      <c r="A160" s="16">
        <v>3239</v>
      </c>
      <c r="B160" s="17" t="s">
        <v>14</v>
      </c>
      <c r="C160" s="96">
        <f>226+938</f>
        <v>1164</v>
      </c>
      <c r="D160" s="96">
        <v>2300</v>
      </c>
      <c r="E160" s="96">
        <v>1700</v>
      </c>
      <c r="F160" s="262">
        <v>8304.5</v>
      </c>
      <c r="G160" s="25">
        <f t="shared" si="9"/>
        <v>713.4450171821305</v>
      </c>
      <c r="H160" s="261">
        <f t="shared" si="8"/>
        <v>488.5</v>
      </c>
      <c r="I160" s="8"/>
      <c r="J160" s="8"/>
      <c r="K160" s="8"/>
      <c r="L160" s="8"/>
      <c r="M160" s="8"/>
      <c r="P160" s="15"/>
    </row>
    <row r="161" spans="1:16" s="9" customFormat="1" ht="15.75" customHeight="1">
      <c r="A161" s="140">
        <v>324</v>
      </c>
      <c r="B161" s="116" t="s">
        <v>128</v>
      </c>
      <c r="C161" s="145">
        <f>C162</f>
        <v>0</v>
      </c>
      <c r="D161" s="145">
        <f>D162</f>
        <v>0</v>
      </c>
      <c r="E161" s="145">
        <f>E162</f>
        <v>0</v>
      </c>
      <c r="F161" s="145">
        <f>F162</f>
        <v>0</v>
      </c>
      <c r="G161" s="113" t="e">
        <f t="shared" si="9"/>
        <v>#DIV/0!</v>
      </c>
      <c r="H161" s="232" t="e">
        <f t="shared" si="8"/>
        <v>#DIV/0!</v>
      </c>
      <c r="I161" s="8"/>
      <c r="J161" s="8"/>
      <c r="K161" s="8"/>
      <c r="L161" s="8"/>
      <c r="M161" s="8"/>
      <c r="P161" s="15"/>
    </row>
    <row r="162" spans="1:16" s="9" customFormat="1" ht="27.75" customHeight="1">
      <c r="A162" s="16">
        <v>3241</v>
      </c>
      <c r="B162" s="17" t="s">
        <v>128</v>
      </c>
      <c r="C162" s="18">
        <v>0</v>
      </c>
      <c r="D162" s="96">
        <v>0</v>
      </c>
      <c r="E162" s="96">
        <v>0</v>
      </c>
      <c r="F162" s="96">
        <v>0</v>
      </c>
      <c r="G162" s="25" t="e">
        <f t="shared" si="9"/>
        <v>#DIV/0!</v>
      </c>
      <c r="H162" s="261" t="e">
        <f t="shared" si="8"/>
        <v>#DIV/0!</v>
      </c>
      <c r="I162" s="8"/>
      <c r="J162" s="8"/>
      <c r="K162" s="8"/>
      <c r="L162" s="8"/>
      <c r="M162" s="8"/>
      <c r="P162" s="15"/>
    </row>
    <row r="163" spans="1:16" s="9" customFormat="1" ht="15">
      <c r="A163" s="140">
        <v>329</v>
      </c>
      <c r="B163" s="116" t="s">
        <v>15</v>
      </c>
      <c r="C163" s="145">
        <f>SUM(C164:C166)</f>
        <v>3773</v>
      </c>
      <c r="D163" s="145">
        <f>SUM(D164:D166)</f>
        <v>6400</v>
      </c>
      <c r="E163" s="145">
        <f>SUM(E164:E166)</f>
        <v>6000</v>
      </c>
      <c r="F163" s="145">
        <f>SUM(F164:F166)</f>
        <v>1300</v>
      </c>
      <c r="G163" s="113">
        <f t="shared" si="9"/>
        <v>34.455340577789556</v>
      </c>
      <c r="H163" s="232">
        <f t="shared" si="8"/>
        <v>21.666666666666668</v>
      </c>
      <c r="I163" s="8"/>
      <c r="J163" s="8"/>
      <c r="K163" s="8"/>
      <c r="L163" s="8"/>
      <c r="M163" s="8"/>
      <c r="P163" s="15"/>
    </row>
    <row r="164" spans="1:16" s="9" customFormat="1" ht="15">
      <c r="A164" s="16">
        <v>3293</v>
      </c>
      <c r="B164" s="17" t="s">
        <v>78</v>
      </c>
      <c r="C164" s="96">
        <v>450</v>
      </c>
      <c r="D164" s="96">
        <v>1400</v>
      </c>
      <c r="E164" s="96">
        <v>1000</v>
      </c>
      <c r="F164" s="262">
        <v>0</v>
      </c>
      <c r="G164" s="25">
        <f t="shared" si="9"/>
        <v>0</v>
      </c>
      <c r="H164" s="261">
        <f t="shared" si="8"/>
        <v>0</v>
      </c>
      <c r="I164" s="8"/>
      <c r="J164" s="8"/>
      <c r="K164" s="8"/>
      <c r="L164" s="8"/>
      <c r="M164" s="8"/>
      <c r="P164" s="15"/>
    </row>
    <row r="165" spans="1:16" s="9" customFormat="1" ht="15">
      <c r="A165" s="16">
        <v>3294</v>
      </c>
      <c r="B165" s="17" t="s">
        <v>101</v>
      </c>
      <c r="C165" s="96">
        <v>1100</v>
      </c>
      <c r="D165" s="96">
        <v>1500</v>
      </c>
      <c r="E165" s="96">
        <v>1500</v>
      </c>
      <c r="F165" s="262">
        <v>1300</v>
      </c>
      <c r="G165" s="25">
        <f t="shared" si="9"/>
        <v>118.18181818181819</v>
      </c>
      <c r="H165" s="261">
        <f t="shared" si="8"/>
        <v>86.66666666666667</v>
      </c>
      <c r="I165" s="8"/>
      <c r="J165" s="8"/>
      <c r="K165" s="8"/>
      <c r="L165" s="8"/>
      <c r="M165" s="8"/>
      <c r="P165" s="15"/>
    </row>
    <row r="166" spans="1:16" s="9" customFormat="1" ht="15">
      <c r="A166" s="16">
        <v>3299</v>
      </c>
      <c r="B166" s="17" t="s">
        <v>15</v>
      </c>
      <c r="C166" s="96">
        <f>724+1499</f>
        <v>2223</v>
      </c>
      <c r="D166" s="96">
        <v>3500</v>
      </c>
      <c r="E166" s="96">
        <v>3500</v>
      </c>
      <c r="F166" s="262">
        <v>0</v>
      </c>
      <c r="G166" s="25">
        <f t="shared" si="9"/>
        <v>0</v>
      </c>
      <c r="H166" s="261">
        <f t="shared" si="8"/>
        <v>0</v>
      </c>
      <c r="I166" s="8"/>
      <c r="J166" s="8"/>
      <c r="K166" s="8"/>
      <c r="L166" s="8"/>
      <c r="M166" s="8"/>
      <c r="P166" s="15"/>
    </row>
    <row r="167" spans="1:16" s="9" customFormat="1" ht="15">
      <c r="A167" s="139">
        <v>34</v>
      </c>
      <c r="B167" s="127" t="s">
        <v>16</v>
      </c>
      <c r="C167" s="150">
        <f>SUM(C168)</f>
        <v>2963</v>
      </c>
      <c r="D167" s="150">
        <f aca="true" t="shared" si="10" ref="D167:F168">SUM(D168)</f>
        <v>3000</v>
      </c>
      <c r="E167" s="150">
        <f>SUM(E168)</f>
        <v>3000</v>
      </c>
      <c r="F167" s="150">
        <f t="shared" si="10"/>
        <v>4625.03</v>
      </c>
      <c r="G167" s="109">
        <f t="shared" si="9"/>
        <v>156.09281133985823</v>
      </c>
      <c r="H167" s="256">
        <f t="shared" si="8"/>
        <v>154.16766666666666</v>
      </c>
      <c r="I167" s="8"/>
      <c r="J167" s="8"/>
      <c r="K167" s="8"/>
      <c r="L167" s="8"/>
      <c r="M167" s="8"/>
      <c r="P167" s="15"/>
    </row>
    <row r="168" spans="1:16" s="176" customFormat="1" ht="15">
      <c r="A168" s="140">
        <v>343</v>
      </c>
      <c r="B168" s="116" t="s">
        <v>17</v>
      </c>
      <c r="C168" s="151">
        <f>SUM(C169)</f>
        <v>2963</v>
      </c>
      <c r="D168" s="151">
        <f t="shared" si="10"/>
        <v>3000</v>
      </c>
      <c r="E168" s="151">
        <f t="shared" si="10"/>
        <v>3000</v>
      </c>
      <c r="F168" s="151">
        <f t="shared" si="10"/>
        <v>4625.03</v>
      </c>
      <c r="G168" s="113">
        <f t="shared" si="9"/>
        <v>156.09281133985823</v>
      </c>
      <c r="H168" s="232">
        <f t="shared" si="8"/>
        <v>154.16766666666666</v>
      </c>
      <c r="I168" s="13"/>
      <c r="J168" s="13"/>
      <c r="K168" s="13"/>
      <c r="L168" s="13"/>
      <c r="M168" s="13"/>
      <c r="P168" s="173"/>
    </row>
    <row r="169" spans="1:16" s="176" customFormat="1" ht="15">
      <c r="A169" s="51" t="s">
        <v>81</v>
      </c>
      <c r="B169" s="48" t="s">
        <v>82</v>
      </c>
      <c r="C169" s="320">
        <v>2963</v>
      </c>
      <c r="D169" s="49">
        <v>3000</v>
      </c>
      <c r="E169" s="49">
        <v>3000</v>
      </c>
      <c r="F169" s="49">
        <v>4625.03</v>
      </c>
      <c r="G169" s="300">
        <f t="shared" si="9"/>
        <v>156.09281133985823</v>
      </c>
      <c r="H169" s="321">
        <f t="shared" si="8"/>
        <v>154.16766666666666</v>
      </c>
      <c r="I169" s="13"/>
      <c r="J169" s="13"/>
      <c r="K169" s="13"/>
      <c r="L169" s="13"/>
      <c r="M169" s="13"/>
      <c r="P169" s="173"/>
    </row>
    <row r="170" spans="1:16" s="176" customFormat="1" ht="15">
      <c r="A170" s="500" t="s">
        <v>3</v>
      </c>
      <c r="B170" s="500"/>
      <c r="C170" s="322">
        <f>SUM(C140,C167)</f>
        <v>481676.8</v>
      </c>
      <c r="D170" s="322">
        <f>SUM(D140,D167)</f>
        <v>548720</v>
      </c>
      <c r="E170" s="322">
        <f>SUM(E140,E167)</f>
        <v>554200</v>
      </c>
      <c r="F170" s="322">
        <f>SUM(F140,F167)</f>
        <v>516230.92000000004</v>
      </c>
      <c r="G170" s="131">
        <f>F170/C170*100</f>
        <v>107.1737148228854</v>
      </c>
      <c r="H170" s="131">
        <f t="shared" si="8"/>
        <v>93.14884879105017</v>
      </c>
      <c r="I170" s="13"/>
      <c r="J170" s="13"/>
      <c r="K170" s="13"/>
      <c r="L170" s="13"/>
      <c r="M170" s="13"/>
      <c r="P170" s="173"/>
    </row>
    <row r="171" spans="2:16" s="9" customFormat="1" ht="15">
      <c r="B171" s="7"/>
      <c r="C171" s="7"/>
      <c r="D171" s="8"/>
      <c r="E171" s="8"/>
      <c r="F171" s="8"/>
      <c r="G171" s="8"/>
      <c r="H171" s="8"/>
      <c r="I171" s="8"/>
      <c r="J171" s="8"/>
      <c r="K171" s="8"/>
      <c r="L171" s="8"/>
      <c r="M171" s="8"/>
      <c r="P171" s="15"/>
    </row>
    <row r="172" spans="2:16" s="9" customFormat="1" ht="15">
      <c r="B172" s="7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P172" s="15"/>
    </row>
    <row r="173" spans="1:16" s="9" customFormat="1" ht="28.5" customHeight="1">
      <c r="A173" s="468" t="s">
        <v>154</v>
      </c>
      <c r="B173" s="487"/>
      <c r="C173" s="346">
        <f aca="true" t="shared" si="11" ref="C173:H173">C181</f>
        <v>9564</v>
      </c>
      <c r="D173" s="346">
        <f t="shared" si="11"/>
        <v>0</v>
      </c>
      <c r="E173" s="346">
        <f t="shared" si="11"/>
        <v>0</v>
      </c>
      <c r="F173" s="346">
        <f t="shared" si="11"/>
        <v>0</v>
      </c>
      <c r="G173" s="346">
        <f t="shared" si="11"/>
        <v>0</v>
      </c>
      <c r="H173" s="346" t="e">
        <f t="shared" si="11"/>
        <v>#DIV/0!</v>
      </c>
      <c r="I173" s="8"/>
      <c r="J173" s="8"/>
      <c r="K173" s="8"/>
      <c r="L173" s="8"/>
      <c r="M173" s="8"/>
      <c r="P173" s="15"/>
    </row>
    <row r="174" spans="1:16" s="9" customFormat="1" ht="15">
      <c r="A174" s="9" t="s">
        <v>155</v>
      </c>
      <c r="B174" s="7"/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P174" s="15"/>
    </row>
    <row r="175" spans="1:16" s="9" customFormat="1" ht="15" customHeight="1">
      <c r="A175" s="444" t="s">
        <v>53</v>
      </c>
      <c r="B175" s="446" t="s">
        <v>0</v>
      </c>
      <c r="C175" s="446" t="s">
        <v>235</v>
      </c>
      <c r="D175" s="441" t="s">
        <v>132</v>
      </c>
      <c r="E175" s="441" t="s">
        <v>226</v>
      </c>
      <c r="F175" s="441" t="s">
        <v>241</v>
      </c>
      <c r="G175" s="441" t="s">
        <v>50</v>
      </c>
      <c r="H175" s="441" t="s">
        <v>50</v>
      </c>
      <c r="I175" s="8"/>
      <c r="J175" s="8"/>
      <c r="K175" s="8"/>
      <c r="L175" s="8"/>
      <c r="M175" s="8"/>
      <c r="P175" s="15"/>
    </row>
    <row r="176" spans="1:16" s="31" customFormat="1" ht="30.75" customHeight="1">
      <c r="A176" s="445"/>
      <c r="B176" s="447"/>
      <c r="C176" s="447"/>
      <c r="D176" s="442"/>
      <c r="E176" s="442"/>
      <c r="F176" s="442"/>
      <c r="G176" s="442"/>
      <c r="H176" s="442"/>
      <c r="I176" s="19"/>
      <c r="J176" s="19"/>
      <c r="K176" s="19"/>
      <c r="L176" s="19"/>
      <c r="M176" s="19"/>
      <c r="P176" s="2"/>
    </row>
    <row r="177" spans="1:16" s="9" customFormat="1" ht="15">
      <c r="A177" s="450">
        <v>1</v>
      </c>
      <c r="B177" s="450"/>
      <c r="C177" s="58">
        <v>2</v>
      </c>
      <c r="D177" s="59">
        <v>3</v>
      </c>
      <c r="E177" s="59">
        <v>4</v>
      </c>
      <c r="F177" s="59">
        <v>5</v>
      </c>
      <c r="G177" s="59" t="s">
        <v>51</v>
      </c>
      <c r="H177" s="59" t="s">
        <v>52</v>
      </c>
      <c r="I177" s="8"/>
      <c r="J177" s="8"/>
      <c r="K177" s="8"/>
      <c r="L177" s="8"/>
      <c r="M177" s="8"/>
      <c r="P177" s="15"/>
    </row>
    <row r="178" spans="1:16" s="296" customFormat="1" ht="15">
      <c r="A178" s="139">
        <v>32</v>
      </c>
      <c r="B178" s="127" t="s">
        <v>8</v>
      </c>
      <c r="C178" s="144">
        <f>C179</f>
        <v>9564</v>
      </c>
      <c r="D178" s="144">
        <f>D179</f>
        <v>0</v>
      </c>
      <c r="E178" s="144">
        <f>E179</f>
        <v>0</v>
      </c>
      <c r="F178" s="144">
        <f>F179</f>
        <v>0</v>
      </c>
      <c r="G178" s="108">
        <f>F178/C178*100</f>
        <v>0</v>
      </c>
      <c r="H178" s="108" t="e">
        <f>F178/E178*100</f>
        <v>#DIV/0!</v>
      </c>
      <c r="I178" s="47"/>
      <c r="J178" s="47"/>
      <c r="K178" s="47"/>
      <c r="L178" s="47"/>
      <c r="M178" s="47"/>
      <c r="P178" s="297"/>
    </row>
    <row r="179" spans="1:16" s="298" customFormat="1" ht="15">
      <c r="A179" s="140">
        <v>323</v>
      </c>
      <c r="B179" s="116" t="s">
        <v>13</v>
      </c>
      <c r="C179" s="145">
        <f>SUM(C180:C180)</f>
        <v>9564</v>
      </c>
      <c r="D179" s="145">
        <f>SUM(D180:D180)</f>
        <v>0</v>
      </c>
      <c r="E179" s="145">
        <f>SUM(E180:E180)</f>
        <v>0</v>
      </c>
      <c r="F179" s="145">
        <f>SUM(F180:F180)</f>
        <v>0</v>
      </c>
      <c r="G179" s="113">
        <f>F179/C179*100</f>
        <v>0</v>
      </c>
      <c r="H179" s="113" t="e">
        <f>F179/E179*100</f>
        <v>#DIV/0!</v>
      </c>
      <c r="I179" s="25"/>
      <c r="J179" s="25"/>
      <c r="K179" s="25"/>
      <c r="L179" s="25"/>
      <c r="M179" s="25"/>
      <c r="P179" s="299"/>
    </row>
    <row r="180" spans="1:16" s="301" customFormat="1" ht="15" customHeight="1">
      <c r="A180" s="51">
        <v>3232</v>
      </c>
      <c r="B180" s="48" t="s">
        <v>69</v>
      </c>
      <c r="C180" s="49">
        <v>9564</v>
      </c>
      <c r="D180" s="52">
        <v>0</v>
      </c>
      <c r="E180" s="52">
        <v>0</v>
      </c>
      <c r="F180" s="52">
        <v>0</v>
      </c>
      <c r="G180" s="242">
        <f>F180/C180*100</f>
        <v>0</v>
      </c>
      <c r="H180" s="242" t="e">
        <f>F180/E180*100</f>
        <v>#DIV/0!</v>
      </c>
      <c r="I180" s="300"/>
      <c r="J180" s="300"/>
      <c r="K180" s="300"/>
      <c r="L180" s="300"/>
      <c r="M180" s="300"/>
      <c r="P180" s="302"/>
    </row>
    <row r="181" spans="1:13" s="31" customFormat="1" ht="15">
      <c r="A181" s="464" t="s">
        <v>3</v>
      </c>
      <c r="B181" s="465"/>
      <c r="C181" s="148">
        <f>C178</f>
        <v>9564</v>
      </c>
      <c r="D181" s="148">
        <f>D178</f>
        <v>0</v>
      </c>
      <c r="E181" s="148">
        <f>E178</f>
        <v>0</v>
      </c>
      <c r="F181" s="148">
        <f>F178</f>
        <v>0</v>
      </c>
      <c r="G181" s="136">
        <f>F181/C181*100</f>
        <v>0</v>
      </c>
      <c r="H181" s="137" t="e">
        <f>F181/E181*100</f>
        <v>#DIV/0!</v>
      </c>
      <c r="I181" s="19"/>
      <c r="J181" s="19"/>
      <c r="K181" s="19"/>
      <c r="L181" s="19"/>
      <c r="M181" s="19"/>
    </row>
    <row r="182" spans="1:13" s="31" customFormat="1" ht="15">
      <c r="A182" s="7"/>
      <c r="B182" s="7"/>
      <c r="C182" s="7"/>
      <c r="D182" s="8"/>
      <c r="E182" s="8"/>
      <c r="F182" s="8"/>
      <c r="G182" s="8"/>
      <c r="H182" s="8"/>
      <c r="I182" s="19"/>
      <c r="J182" s="19"/>
      <c r="K182" s="19"/>
      <c r="L182" s="19"/>
      <c r="M182" s="19"/>
    </row>
    <row r="183" spans="1:13" s="31" customFormat="1" ht="15">
      <c r="A183" s="7"/>
      <c r="B183" s="7"/>
      <c r="C183" s="7"/>
      <c r="D183" s="8"/>
      <c r="E183" s="8"/>
      <c r="F183" s="8"/>
      <c r="G183" s="8"/>
      <c r="H183" s="8"/>
      <c r="I183" s="19"/>
      <c r="J183" s="19"/>
      <c r="K183" s="19"/>
      <c r="L183" s="19"/>
      <c r="M183" s="19"/>
    </row>
    <row r="184" spans="1:13" s="31" customFormat="1" ht="28.5" customHeight="1">
      <c r="A184" s="468" t="s">
        <v>156</v>
      </c>
      <c r="B184" s="487"/>
      <c r="C184" s="346">
        <f aca="true" t="shared" si="12" ref="C184:H184">C192</f>
        <v>31500</v>
      </c>
      <c r="D184" s="346">
        <f t="shared" si="12"/>
        <v>31500</v>
      </c>
      <c r="E184" s="346">
        <f t="shared" si="12"/>
        <v>31500</v>
      </c>
      <c r="F184" s="346">
        <f t="shared" si="12"/>
        <v>24906.38</v>
      </c>
      <c r="G184" s="346">
        <f>F184/C184*100</f>
        <v>79.06787301587302</v>
      </c>
      <c r="H184" s="346">
        <f t="shared" si="12"/>
        <v>79.06787301587302</v>
      </c>
      <c r="I184" s="19"/>
      <c r="J184" s="19"/>
      <c r="K184" s="19"/>
      <c r="L184" s="19"/>
      <c r="M184" s="19"/>
    </row>
    <row r="185" spans="1:16" s="9" customFormat="1" ht="15">
      <c r="A185" s="9" t="s">
        <v>155</v>
      </c>
      <c r="B185" s="7"/>
      <c r="C185" s="7"/>
      <c r="D185" s="8"/>
      <c r="E185" s="8"/>
      <c r="F185" s="8"/>
      <c r="G185" s="8"/>
      <c r="H185" s="8"/>
      <c r="I185" s="8"/>
      <c r="J185" s="8"/>
      <c r="K185" s="8"/>
      <c r="L185" s="8"/>
      <c r="M185" s="8"/>
      <c r="P185" s="15"/>
    </row>
    <row r="186" spans="1:16" s="9" customFormat="1" ht="15" customHeight="1">
      <c r="A186" s="444" t="s">
        <v>53</v>
      </c>
      <c r="B186" s="446" t="s">
        <v>0</v>
      </c>
      <c r="C186" s="446" t="s">
        <v>235</v>
      </c>
      <c r="D186" s="441" t="s">
        <v>132</v>
      </c>
      <c r="E186" s="441" t="s">
        <v>226</v>
      </c>
      <c r="F186" s="441" t="s">
        <v>241</v>
      </c>
      <c r="G186" s="441" t="s">
        <v>50</v>
      </c>
      <c r="H186" s="441" t="s">
        <v>50</v>
      </c>
      <c r="I186" s="8"/>
      <c r="J186" s="8"/>
      <c r="K186" s="8"/>
      <c r="L186" s="8"/>
      <c r="M186" s="8"/>
      <c r="P186" s="15"/>
    </row>
    <row r="187" spans="1:16" s="9" customFormat="1" ht="26.25" customHeight="1">
      <c r="A187" s="445"/>
      <c r="B187" s="447"/>
      <c r="C187" s="447"/>
      <c r="D187" s="442"/>
      <c r="E187" s="442"/>
      <c r="F187" s="442"/>
      <c r="G187" s="442"/>
      <c r="H187" s="442"/>
      <c r="I187" s="8"/>
      <c r="J187" s="8"/>
      <c r="K187" s="8"/>
      <c r="L187" s="8"/>
      <c r="M187" s="8"/>
      <c r="P187" s="15"/>
    </row>
    <row r="188" spans="1:16" s="31" customFormat="1" ht="15">
      <c r="A188" s="450">
        <v>1</v>
      </c>
      <c r="B188" s="450"/>
      <c r="C188" s="58">
        <v>2</v>
      </c>
      <c r="D188" s="59">
        <v>3</v>
      </c>
      <c r="E188" s="59">
        <v>4</v>
      </c>
      <c r="F188" s="59">
        <v>5</v>
      </c>
      <c r="G188" s="59" t="s">
        <v>51</v>
      </c>
      <c r="H188" s="59" t="s">
        <v>52</v>
      </c>
      <c r="I188" s="19"/>
      <c r="J188" s="19"/>
      <c r="K188" s="19"/>
      <c r="L188" s="19"/>
      <c r="M188" s="19"/>
      <c r="P188" s="2"/>
    </row>
    <row r="189" spans="1:16" s="296" customFormat="1" ht="15">
      <c r="A189" s="155">
        <v>42</v>
      </c>
      <c r="B189" s="156" t="s">
        <v>111</v>
      </c>
      <c r="C189" s="157">
        <f>C190</f>
        <v>31500</v>
      </c>
      <c r="D189" s="157">
        <f>D190</f>
        <v>31500</v>
      </c>
      <c r="E189" s="157">
        <f>E190</f>
        <v>31500</v>
      </c>
      <c r="F189" s="157">
        <f>F190</f>
        <v>24906.38</v>
      </c>
      <c r="G189" s="108">
        <v>0</v>
      </c>
      <c r="H189" s="108">
        <v>0</v>
      </c>
      <c r="I189" s="47"/>
      <c r="J189" s="47"/>
      <c r="K189" s="47"/>
      <c r="L189" s="47"/>
      <c r="M189" s="47"/>
      <c r="P189" s="297"/>
    </row>
    <row r="190" spans="1:16" s="298" customFormat="1" ht="15">
      <c r="A190" s="235">
        <v>422</v>
      </c>
      <c r="B190" s="236" t="s">
        <v>18</v>
      </c>
      <c r="C190" s="237">
        <f>SUM(C191:C191)</f>
        <v>31500</v>
      </c>
      <c r="D190" s="237">
        <f>SUM(D191:D191)</f>
        <v>31500</v>
      </c>
      <c r="E190" s="237">
        <f>SUM(E191:E191)</f>
        <v>31500</v>
      </c>
      <c r="F190" s="237">
        <f>SUM(F191:F191)</f>
        <v>24906.38</v>
      </c>
      <c r="G190" s="113">
        <v>0</v>
      </c>
      <c r="H190" s="113">
        <v>0</v>
      </c>
      <c r="I190" s="25"/>
      <c r="J190" s="25"/>
      <c r="K190" s="25"/>
      <c r="L190" s="25"/>
      <c r="M190" s="25"/>
      <c r="P190" s="299"/>
    </row>
    <row r="191" spans="1:16" s="301" customFormat="1" ht="15">
      <c r="A191" s="51">
        <v>4221</v>
      </c>
      <c r="B191" s="48" t="s">
        <v>84</v>
      </c>
      <c r="C191" s="67">
        <v>31500</v>
      </c>
      <c r="D191" s="49">
        <v>31500</v>
      </c>
      <c r="E191" s="49">
        <v>31500</v>
      </c>
      <c r="F191" s="49">
        <v>24906.38</v>
      </c>
      <c r="G191" s="242">
        <v>0</v>
      </c>
      <c r="H191" s="242">
        <v>0</v>
      </c>
      <c r="I191" s="300"/>
      <c r="J191" s="300"/>
      <c r="K191" s="300"/>
      <c r="L191" s="300"/>
      <c r="M191" s="300"/>
      <c r="P191" s="302"/>
    </row>
    <row r="192" spans="1:16" s="9" customFormat="1" ht="15">
      <c r="A192" s="464" t="s">
        <v>3</v>
      </c>
      <c r="B192" s="465"/>
      <c r="C192" s="148">
        <f>C189</f>
        <v>31500</v>
      </c>
      <c r="D192" s="148">
        <f>D189</f>
        <v>31500</v>
      </c>
      <c r="E192" s="148">
        <f>E189</f>
        <v>31500</v>
      </c>
      <c r="F192" s="148">
        <f>F189</f>
        <v>24906.38</v>
      </c>
      <c r="G192" s="136">
        <f>F192/C192*100</f>
        <v>79.06787301587302</v>
      </c>
      <c r="H192" s="137">
        <f>F192/E192*100</f>
        <v>79.06787301587302</v>
      </c>
      <c r="I192" s="8"/>
      <c r="J192" s="8"/>
      <c r="K192" s="8"/>
      <c r="L192" s="8"/>
      <c r="M192" s="8"/>
      <c r="P192" s="15"/>
    </row>
    <row r="193" spans="1:13" s="31" customFormat="1" ht="15">
      <c r="A193" s="174"/>
      <c r="B193" s="174"/>
      <c r="C193" s="175"/>
      <c r="D193" s="175"/>
      <c r="E193" s="175"/>
      <c r="F193" s="175"/>
      <c r="G193" s="13"/>
      <c r="H193" s="13"/>
      <c r="I193" s="19"/>
      <c r="J193" s="19"/>
      <c r="K193" s="19"/>
      <c r="L193" s="19"/>
      <c r="M193" s="19"/>
    </row>
    <row r="194" spans="1:13" s="177" customFormat="1" ht="15">
      <c r="A194" s="174"/>
      <c r="B194" s="174"/>
      <c r="C194" s="175"/>
      <c r="D194" s="175"/>
      <c r="E194" s="175"/>
      <c r="F194" s="175"/>
      <c r="G194" s="13"/>
      <c r="H194" s="13"/>
      <c r="I194" s="20"/>
      <c r="J194" s="20"/>
      <c r="K194" s="20"/>
      <c r="L194" s="20"/>
      <c r="M194" s="20"/>
    </row>
    <row r="195" spans="1:13" s="177" customFormat="1" ht="15">
      <c r="A195" s="174"/>
      <c r="B195" s="174"/>
      <c r="C195" s="175"/>
      <c r="D195" s="175"/>
      <c r="E195" s="175"/>
      <c r="F195" s="175"/>
      <c r="G195" s="13"/>
      <c r="H195" s="13"/>
      <c r="I195" s="20"/>
      <c r="J195" s="20"/>
      <c r="K195" s="20"/>
      <c r="L195" s="20"/>
      <c r="M195" s="20"/>
    </row>
    <row r="196" spans="1:13" s="177" customFormat="1" ht="15">
      <c r="A196" s="174"/>
      <c r="B196" s="174"/>
      <c r="C196" s="175"/>
      <c r="D196" s="175"/>
      <c r="E196" s="175"/>
      <c r="F196" s="175"/>
      <c r="G196" s="13"/>
      <c r="H196" s="13"/>
      <c r="I196" s="20"/>
      <c r="J196" s="20"/>
      <c r="K196" s="20"/>
      <c r="L196" s="20"/>
      <c r="M196" s="20"/>
    </row>
    <row r="197" spans="1:13" s="177" customFormat="1" ht="15">
      <c r="A197" s="174"/>
      <c r="B197" s="174"/>
      <c r="C197" s="175"/>
      <c r="D197" s="175"/>
      <c r="E197" s="175"/>
      <c r="F197" s="175"/>
      <c r="G197" s="13"/>
      <c r="H197" s="13"/>
      <c r="I197" s="20"/>
      <c r="J197" s="20"/>
      <c r="K197" s="20"/>
      <c r="L197" s="20"/>
      <c r="M197" s="20"/>
    </row>
    <row r="198" spans="1:13" s="177" customFormat="1" ht="15">
      <c r="A198" s="174"/>
      <c r="B198" s="174"/>
      <c r="C198" s="175"/>
      <c r="D198" s="175"/>
      <c r="E198" s="175"/>
      <c r="F198" s="175"/>
      <c r="G198" s="13"/>
      <c r="H198" s="13"/>
      <c r="I198" s="20"/>
      <c r="J198" s="20"/>
      <c r="K198" s="20"/>
      <c r="L198" s="20"/>
      <c r="M198" s="20"/>
    </row>
    <row r="199" spans="1:16" s="9" customFormat="1" ht="15">
      <c r="A199" s="7"/>
      <c r="B199" s="7"/>
      <c r="C199" s="7"/>
      <c r="D199" s="8"/>
      <c r="E199" s="8"/>
      <c r="F199" s="8"/>
      <c r="G199" s="8"/>
      <c r="H199" s="8"/>
      <c r="I199" s="8"/>
      <c r="J199" s="8"/>
      <c r="K199" s="8"/>
      <c r="L199" s="8"/>
      <c r="M199" s="8"/>
      <c r="P199" s="15"/>
    </row>
    <row r="200" spans="1:16" s="9" customFormat="1" ht="25.5" customHeight="1">
      <c r="A200" s="362" t="s">
        <v>157</v>
      </c>
      <c r="B200" s="364"/>
      <c r="C200" s="361">
        <f>SUM(C202+C270+C324+C338+C374+C386+C411+C430+C302+C290)</f>
        <v>822560.55</v>
      </c>
      <c r="D200" s="361" t="e">
        <f>SUM(D202+D270+D324+D338+D374+D386+D411+D430+D302)</f>
        <v>#REF!</v>
      </c>
      <c r="E200" s="361">
        <f>SUM(E202+E270+E324+E338+E374+E386+E411+E430+E302)</f>
        <v>1071605</v>
      </c>
      <c r="F200" s="361">
        <f>SUM(F202+F270+F324+F338+F374+F386+F411+F430+F302+F449)</f>
        <v>866586.1799999999</v>
      </c>
      <c r="G200" s="361">
        <f>F200/C200*100</f>
        <v>105.3522661644787</v>
      </c>
      <c r="H200" s="361">
        <f>F200/E200*100</f>
        <v>80.86806052603337</v>
      </c>
      <c r="I200" s="8"/>
      <c r="J200" s="8"/>
      <c r="K200" s="8"/>
      <c r="L200" s="8"/>
      <c r="M200" s="8"/>
      <c r="P200" s="15"/>
    </row>
    <row r="201" spans="1:16" s="9" customFormat="1" ht="19.5">
      <c r="A201" s="343"/>
      <c r="B201" s="35"/>
      <c r="C201" s="340"/>
      <c r="D201" s="340"/>
      <c r="E201" s="340"/>
      <c r="F201" s="340"/>
      <c r="G201" s="340"/>
      <c r="H201" s="340"/>
      <c r="I201" s="8"/>
      <c r="J201" s="8"/>
      <c r="K201" s="8"/>
      <c r="L201" s="8"/>
      <c r="M201" s="8"/>
      <c r="P201" s="15"/>
    </row>
    <row r="202" spans="1:16" s="31" customFormat="1" ht="30.75" customHeight="1">
      <c r="A202" s="468" t="s">
        <v>158</v>
      </c>
      <c r="B202" s="469"/>
      <c r="C202" s="346">
        <f>C210+C220+C248+C238</f>
        <v>103658.25</v>
      </c>
      <c r="D202" s="346" t="e">
        <f>D210+D220+D248+#REF!+D238</f>
        <v>#REF!</v>
      </c>
      <c r="E202" s="346">
        <f>E210+E220+E248+E238+E261</f>
        <v>175360</v>
      </c>
      <c r="F202" s="346">
        <f>F210+F220+F248+F238+F261</f>
        <v>133848.82</v>
      </c>
      <c r="G202" s="346">
        <f>F202/C202*100</f>
        <v>129.1251009929263</v>
      </c>
      <c r="H202" s="346">
        <f>F202/E202*100</f>
        <v>76.3280223540146</v>
      </c>
      <c r="I202" s="19"/>
      <c r="J202" s="19"/>
      <c r="K202" s="19"/>
      <c r="L202" s="19"/>
      <c r="M202" s="19"/>
      <c r="P202" s="2"/>
    </row>
    <row r="203" spans="1:16" s="9" customFormat="1" ht="15">
      <c r="A203" s="9" t="s">
        <v>249</v>
      </c>
      <c r="B203" s="7"/>
      <c r="C203" s="7"/>
      <c r="D203" s="8"/>
      <c r="E203" s="8"/>
      <c r="F203" s="8"/>
      <c r="G203" s="8"/>
      <c r="H203" s="8"/>
      <c r="I203" s="8"/>
      <c r="J203" s="8"/>
      <c r="K203" s="8"/>
      <c r="L203" s="8"/>
      <c r="M203" s="8"/>
      <c r="P203" s="15"/>
    </row>
    <row r="204" spans="1:16" s="9" customFormat="1" ht="15" customHeight="1">
      <c r="A204" s="444" t="s">
        <v>53</v>
      </c>
      <c r="B204" s="446" t="s">
        <v>0</v>
      </c>
      <c r="C204" s="446" t="s">
        <v>235</v>
      </c>
      <c r="D204" s="441" t="s">
        <v>132</v>
      </c>
      <c r="E204" s="441" t="s">
        <v>226</v>
      </c>
      <c r="F204" s="441" t="s">
        <v>241</v>
      </c>
      <c r="G204" s="441" t="s">
        <v>50</v>
      </c>
      <c r="H204" s="441" t="s">
        <v>50</v>
      </c>
      <c r="I204" s="8"/>
      <c r="J204" s="8"/>
      <c r="K204" s="8"/>
      <c r="L204" s="8"/>
      <c r="M204" s="8"/>
      <c r="P204" s="15"/>
    </row>
    <row r="205" spans="1:16" s="9" customFormat="1" ht="31.5" customHeight="1">
      <c r="A205" s="445"/>
      <c r="B205" s="447"/>
      <c r="C205" s="447"/>
      <c r="D205" s="442"/>
      <c r="E205" s="442"/>
      <c r="F205" s="442"/>
      <c r="G205" s="442"/>
      <c r="H205" s="442"/>
      <c r="I205" s="8"/>
      <c r="J205" s="8"/>
      <c r="K205" s="8"/>
      <c r="L205" s="8"/>
      <c r="M205" s="8"/>
      <c r="P205" s="15"/>
    </row>
    <row r="206" spans="1:16" s="9" customFormat="1" ht="15" customHeight="1">
      <c r="A206" s="450">
        <v>1</v>
      </c>
      <c r="B206" s="450"/>
      <c r="C206" s="58">
        <v>2</v>
      </c>
      <c r="D206" s="59">
        <v>3</v>
      </c>
      <c r="E206" s="59">
        <v>4</v>
      </c>
      <c r="F206" s="59">
        <v>5</v>
      </c>
      <c r="G206" s="59" t="s">
        <v>51</v>
      </c>
      <c r="H206" s="59" t="s">
        <v>52</v>
      </c>
      <c r="I206" s="8"/>
      <c r="J206" s="8"/>
      <c r="K206" s="8"/>
      <c r="L206" s="8"/>
      <c r="M206" s="8"/>
      <c r="P206" s="15"/>
    </row>
    <row r="207" spans="1:16" s="31" customFormat="1" ht="17.25" customHeight="1">
      <c r="A207" s="139">
        <v>32</v>
      </c>
      <c r="B207" s="127" t="s">
        <v>8</v>
      </c>
      <c r="C207" s="144">
        <f>SUM(C208)</f>
        <v>0</v>
      </c>
      <c r="D207" s="144">
        <f>SUM(D208)</f>
        <v>5000</v>
      </c>
      <c r="E207" s="144">
        <f>SUM(E208)</f>
        <v>0</v>
      </c>
      <c r="F207" s="144">
        <f>SUM(F208)</f>
        <v>3392</v>
      </c>
      <c r="G207" s="136" t="e">
        <f>F207/C207*100</f>
        <v>#DIV/0!</v>
      </c>
      <c r="H207" s="137" t="e">
        <f>F207/E207*100</f>
        <v>#DIV/0!</v>
      </c>
      <c r="I207" s="19"/>
      <c r="J207" s="19"/>
      <c r="K207" s="19"/>
      <c r="L207" s="19"/>
      <c r="M207" s="19"/>
      <c r="P207" s="2"/>
    </row>
    <row r="208" spans="1:16" s="31" customFormat="1" ht="16.5" customHeight="1">
      <c r="A208" s="140">
        <v>321</v>
      </c>
      <c r="B208" s="116" t="s">
        <v>9</v>
      </c>
      <c r="C208" s="145">
        <f>SUM(C209:C209)</f>
        <v>0</v>
      </c>
      <c r="D208" s="145">
        <f>SUM(D209)</f>
        <v>5000</v>
      </c>
      <c r="E208" s="145">
        <f>SUM(E209:E209)</f>
        <v>0</v>
      </c>
      <c r="F208" s="145">
        <f>SUM(F209:F209)</f>
        <v>3392</v>
      </c>
      <c r="G208" s="142" t="e">
        <f>F208/C208*100</f>
        <v>#DIV/0!</v>
      </c>
      <c r="H208" s="143" t="e">
        <f>F208/E208*100</f>
        <v>#DIV/0!</v>
      </c>
      <c r="I208" s="19"/>
      <c r="J208" s="19"/>
      <c r="K208" s="19"/>
      <c r="L208" s="19"/>
      <c r="M208" s="19"/>
      <c r="P208" s="2"/>
    </row>
    <row r="209" spans="1:16" s="31" customFormat="1" ht="17.25" customHeight="1">
      <c r="A209" s="16">
        <v>3213</v>
      </c>
      <c r="B209" s="17" t="s">
        <v>250</v>
      </c>
      <c r="C209" s="98">
        <v>0</v>
      </c>
      <c r="D209" s="52">
        <v>5000</v>
      </c>
      <c r="E209" s="52">
        <v>0</v>
      </c>
      <c r="F209" s="96">
        <v>3392</v>
      </c>
      <c r="G209" s="134" t="e">
        <f>F209/C209*100</f>
        <v>#DIV/0!</v>
      </c>
      <c r="H209" s="135" t="e">
        <f>F209/E209*100</f>
        <v>#DIV/0!</v>
      </c>
      <c r="I209" s="19"/>
      <c r="J209" s="19"/>
      <c r="K209" s="19"/>
      <c r="L209" s="19"/>
      <c r="M209" s="19"/>
      <c r="P209" s="2"/>
    </row>
    <row r="210" spans="1:16" s="9" customFormat="1" ht="36" customHeight="1">
      <c r="A210" s="464" t="s">
        <v>3</v>
      </c>
      <c r="B210" s="465"/>
      <c r="C210" s="148">
        <f>SUM(C207,)</f>
        <v>0</v>
      </c>
      <c r="D210" s="148">
        <f>SUM(D207,)</f>
        <v>5000</v>
      </c>
      <c r="E210" s="148">
        <f>SUM(E207,)</f>
        <v>0</v>
      </c>
      <c r="F210" s="148">
        <f>SUM(F207,)</f>
        <v>3392</v>
      </c>
      <c r="G210" s="136" t="e">
        <f>F210/C210*100</f>
        <v>#DIV/0!</v>
      </c>
      <c r="H210" s="137" t="e">
        <f>F210/E210*100</f>
        <v>#DIV/0!</v>
      </c>
      <c r="I210" s="8"/>
      <c r="J210" s="8"/>
      <c r="K210" s="8"/>
      <c r="L210" s="8"/>
      <c r="M210" s="8"/>
      <c r="P210" s="15"/>
    </row>
    <row r="211" spans="2:16" s="9" customFormat="1" ht="15">
      <c r="B211" s="7"/>
      <c r="C211" s="7"/>
      <c r="D211" s="8"/>
      <c r="E211" s="8"/>
      <c r="F211" s="8"/>
      <c r="G211" s="8"/>
      <c r="H211" s="8"/>
      <c r="I211" s="8"/>
      <c r="J211" s="8"/>
      <c r="K211" s="8"/>
      <c r="L211" s="8"/>
      <c r="M211" s="8"/>
      <c r="P211" s="15"/>
    </row>
    <row r="212" spans="2:16" s="9" customFormat="1" ht="15">
      <c r="B212" s="7"/>
      <c r="C212" s="7"/>
      <c r="D212" s="8"/>
      <c r="E212" s="8"/>
      <c r="F212" s="8"/>
      <c r="G212" s="8"/>
      <c r="H212" s="8"/>
      <c r="I212" s="8"/>
      <c r="J212" s="8"/>
      <c r="K212" s="8"/>
      <c r="L212" s="8"/>
      <c r="M212" s="8"/>
      <c r="P212" s="15"/>
    </row>
    <row r="213" spans="1:13" s="31" customFormat="1" ht="15">
      <c r="A213" s="9" t="s">
        <v>159</v>
      </c>
      <c r="B213" s="7"/>
      <c r="C213" s="7"/>
      <c r="D213" s="8"/>
      <c r="E213" s="8"/>
      <c r="F213" s="8"/>
      <c r="G213" s="8"/>
      <c r="H213" s="8"/>
      <c r="I213" s="19"/>
      <c r="J213" s="19"/>
      <c r="K213" s="19"/>
      <c r="L213" s="19"/>
      <c r="M213" s="19"/>
    </row>
    <row r="214" spans="1:13" s="31" customFormat="1" ht="15">
      <c r="A214" s="444" t="s">
        <v>53</v>
      </c>
      <c r="B214" s="446" t="s">
        <v>0</v>
      </c>
      <c r="C214" s="446" t="s">
        <v>235</v>
      </c>
      <c r="D214" s="441" t="s">
        <v>132</v>
      </c>
      <c r="E214" s="441" t="s">
        <v>226</v>
      </c>
      <c r="F214" s="441" t="s">
        <v>241</v>
      </c>
      <c r="G214" s="441" t="s">
        <v>50</v>
      </c>
      <c r="H214" s="441" t="s">
        <v>50</v>
      </c>
      <c r="I214" s="19"/>
      <c r="J214" s="19"/>
      <c r="K214" s="19"/>
      <c r="L214" s="19"/>
      <c r="M214" s="19"/>
    </row>
    <row r="215" spans="1:13" s="31" customFormat="1" ht="25.5" customHeight="1">
      <c r="A215" s="445"/>
      <c r="B215" s="447"/>
      <c r="C215" s="447"/>
      <c r="D215" s="442"/>
      <c r="E215" s="442"/>
      <c r="F215" s="442"/>
      <c r="G215" s="442"/>
      <c r="H215" s="442"/>
      <c r="I215" s="19"/>
      <c r="J215" s="19"/>
      <c r="K215" s="19"/>
      <c r="L215" s="19"/>
      <c r="M215" s="19"/>
    </row>
    <row r="216" spans="1:16" s="9" customFormat="1" ht="15" customHeight="1">
      <c r="A216" s="450">
        <v>1</v>
      </c>
      <c r="B216" s="450"/>
      <c r="C216" s="58">
        <v>2</v>
      </c>
      <c r="D216" s="59">
        <v>3</v>
      </c>
      <c r="E216" s="59">
        <v>4</v>
      </c>
      <c r="F216" s="59">
        <v>5</v>
      </c>
      <c r="G216" s="59" t="s">
        <v>51</v>
      </c>
      <c r="H216" s="59" t="s">
        <v>52</v>
      </c>
      <c r="I216" s="8"/>
      <c r="J216" s="8"/>
      <c r="K216" s="8"/>
      <c r="L216" s="8"/>
      <c r="M216" s="8"/>
      <c r="P216" s="15"/>
    </row>
    <row r="217" spans="1:16" s="9" customFormat="1" ht="30">
      <c r="A217" s="230">
        <v>42</v>
      </c>
      <c r="B217" s="215" t="s">
        <v>19</v>
      </c>
      <c r="C217" s="216">
        <f>SUM(C218)</f>
        <v>0</v>
      </c>
      <c r="D217" s="216">
        <f>SUM(D218)</f>
        <v>28000</v>
      </c>
      <c r="E217" s="216">
        <f>SUM(E218)</f>
        <v>26000</v>
      </c>
      <c r="F217" s="216">
        <f>SUM(F218)</f>
        <v>0</v>
      </c>
      <c r="G217" s="217" t="e">
        <f>F217/C217*100</f>
        <v>#DIV/0!</v>
      </c>
      <c r="H217" s="231">
        <f>F217/E217*100</f>
        <v>0</v>
      </c>
      <c r="I217" s="8"/>
      <c r="J217" s="8"/>
      <c r="K217" s="8"/>
      <c r="L217" s="8"/>
      <c r="M217" s="8"/>
      <c r="P217" s="15"/>
    </row>
    <row r="218" spans="1:16" s="31" customFormat="1" ht="15">
      <c r="A218" s="235">
        <v>422</v>
      </c>
      <c r="B218" s="236" t="s">
        <v>18</v>
      </c>
      <c r="C218" s="237">
        <f>SUM(C219:C219)</f>
        <v>0</v>
      </c>
      <c r="D218" s="237">
        <f>SUM(D219:D219)</f>
        <v>28000</v>
      </c>
      <c r="E218" s="237">
        <f>SUM(E219:E219)</f>
        <v>26000</v>
      </c>
      <c r="F218" s="237">
        <f>SUM(F219:F219)</f>
        <v>0</v>
      </c>
      <c r="G218" s="113">
        <v>0</v>
      </c>
      <c r="H218" s="232">
        <v>0</v>
      </c>
      <c r="I218" s="19"/>
      <c r="J218" s="19"/>
      <c r="K218" s="19"/>
      <c r="L218" s="19"/>
      <c r="M218" s="19"/>
      <c r="P218" s="2"/>
    </row>
    <row r="219" spans="1:16" s="9" customFormat="1" ht="15">
      <c r="A219" s="238">
        <v>4221</v>
      </c>
      <c r="B219" s="239" t="s">
        <v>230</v>
      </c>
      <c r="C219" s="240">
        <v>0</v>
      </c>
      <c r="D219" s="241">
        <v>28000</v>
      </c>
      <c r="E219" s="241">
        <v>26000</v>
      </c>
      <c r="F219" s="241">
        <v>0</v>
      </c>
      <c r="G219" s="242">
        <v>0</v>
      </c>
      <c r="H219" s="243">
        <v>0</v>
      </c>
      <c r="I219" s="8"/>
      <c r="J219" s="8"/>
      <c r="K219" s="8"/>
      <c r="L219" s="8"/>
      <c r="M219" s="8"/>
      <c r="P219" s="15"/>
    </row>
    <row r="220" spans="1:16" s="9" customFormat="1" ht="15">
      <c r="A220" s="464" t="s">
        <v>3</v>
      </c>
      <c r="B220" s="465"/>
      <c r="C220" s="148">
        <f>SUM(C217)</f>
        <v>0</v>
      </c>
      <c r="D220" s="148">
        <f>SUM(D217)</f>
        <v>28000</v>
      </c>
      <c r="E220" s="148">
        <f>SUM(E217)</f>
        <v>26000</v>
      </c>
      <c r="F220" s="148">
        <f>SUM(F217)</f>
        <v>0</v>
      </c>
      <c r="G220" s="136" t="e">
        <f>F220/C220*100</f>
        <v>#DIV/0!</v>
      </c>
      <c r="H220" s="137">
        <f>F220/E220*100</f>
        <v>0</v>
      </c>
      <c r="I220" s="8"/>
      <c r="J220" s="8"/>
      <c r="K220" s="8"/>
      <c r="L220" s="8"/>
      <c r="M220" s="8"/>
      <c r="P220" s="15"/>
    </row>
    <row r="221" spans="1:16" s="9" customFormat="1" ht="15">
      <c r="A221" s="174"/>
      <c r="B221" s="174"/>
      <c r="C221" s="175"/>
      <c r="D221" s="175"/>
      <c r="E221" s="175"/>
      <c r="F221" s="175"/>
      <c r="G221" s="13"/>
      <c r="H221" s="13"/>
      <c r="I221" s="8"/>
      <c r="J221" s="8"/>
      <c r="K221" s="8"/>
      <c r="L221" s="8"/>
      <c r="M221" s="8"/>
      <c r="P221" s="15"/>
    </row>
    <row r="222" spans="1:16" s="9" customFormat="1" ht="15">
      <c r="A222" s="174"/>
      <c r="B222" s="174"/>
      <c r="C222" s="175"/>
      <c r="D222" s="175"/>
      <c r="E222" s="175"/>
      <c r="F222" s="175"/>
      <c r="G222" s="13"/>
      <c r="H222" s="13"/>
      <c r="I222" s="8"/>
      <c r="J222" s="8"/>
      <c r="K222" s="8"/>
      <c r="L222" s="8"/>
      <c r="M222" s="8"/>
      <c r="P222" s="15"/>
    </row>
    <row r="223" spans="1:13" s="31" customFormat="1" ht="15">
      <c r="A223" s="9" t="s">
        <v>181</v>
      </c>
      <c r="B223" s="7"/>
      <c r="C223" s="7"/>
      <c r="D223" s="8"/>
      <c r="E223" s="8"/>
      <c r="F223" s="8"/>
      <c r="G223" s="8"/>
      <c r="H223" s="8"/>
      <c r="I223" s="19"/>
      <c r="J223" s="19"/>
      <c r="K223" s="19"/>
      <c r="L223" s="19"/>
      <c r="M223" s="19"/>
    </row>
    <row r="224" spans="1:13" s="31" customFormat="1" ht="15">
      <c r="A224" s="444" t="s">
        <v>53</v>
      </c>
      <c r="B224" s="446" t="s">
        <v>0</v>
      </c>
      <c r="C224" s="446" t="s">
        <v>235</v>
      </c>
      <c r="D224" s="441" t="s">
        <v>132</v>
      </c>
      <c r="E224" s="441" t="s">
        <v>226</v>
      </c>
      <c r="F224" s="441" t="s">
        <v>241</v>
      </c>
      <c r="G224" s="441" t="s">
        <v>50</v>
      </c>
      <c r="H224" s="441" t="s">
        <v>50</v>
      </c>
      <c r="I224" s="19"/>
      <c r="J224" s="19"/>
      <c r="K224" s="19"/>
      <c r="L224" s="19"/>
      <c r="M224" s="19"/>
    </row>
    <row r="225" spans="1:13" s="31" customFormat="1" ht="29.25" customHeight="1">
      <c r="A225" s="445"/>
      <c r="B225" s="447"/>
      <c r="C225" s="447"/>
      <c r="D225" s="442"/>
      <c r="E225" s="442"/>
      <c r="F225" s="442"/>
      <c r="G225" s="442"/>
      <c r="H225" s="442"/>
      <c r="I225" s="19"/>
      <c r="J225" s="19"/>
      <c r="K225" s="19"/>
      <c r="L225" s="19"/>
      <c r="M225" s="19"/>
    </row>
    <row r="226" spans="1:13" s="31" customFormat="1" ht="11.25" customHeight="1">
      <c r="A226" s="450">
        <v>1</v>
      </c>
      <c r="B226" s="450"/>
      <c r="C226" s="58">
        <v>2</v>
      </c>
      <c r="D226" s="59">
        <v>3</v>
      </c>
      <c r="E226" s="59">
        <v>4</v>
      </c>
      <c r="F226" s="59">
        <v>5</v>
      </c>
      <c r="G226" s="59" t="s">
        <v>51</v>
      </c>
      <c r="H226" s="59" t="s">
        <v>52</v>
      </c>
      <c r="I226" s="19"/>
      <c r="J226" s="19"/>
      <c r="K226" s="19"/>
      <c r="L226" s="19"/>
      <c r="M226" s="19"/>
    </row>
    <row r="227" spans="1:13" s="31" customFormat="1" ht="15">
      <c r="A227" s="230">
        <v>32</v>
      </c>
      <c r="B227" s="215" t="s">
        <v>8</v>
      </c>
      <c r="C227" s="216">
        <f>SUM(C228,)</f>
        <v>103658.25</v>
      </c>
      <c r="D227" s="216">
        <f>SUM(D228,)</f>
        <v>140000</v>
      </c>
      <c r="E227" s="216">
        <f>SUM(E228,)</f>
        <v>140000</v>
      </c>
      <c r="F227" s="216">
        <f>SUM(F228+F233)</f>
        <v>127324.83</v>
      </c>
      <c r="G227" s="217">
        <f>F227/C227*100</f>
        <v>122.83135206314981</v>
      </c>
      <c r="H227" s="231">
        <f>F227/E227*100</f>
        <v>90.94630714285714</v>
      </c>
      <c r="I227" s="19"/>
      <c r="J227" s="19"/>
      <c r="K227" s="19"/>
      <c r="L227" s="19"/>
      <c r="M227" s="19"/>
    </row>
    <row r="228" spans="1:13" s="31" customFormat="1" ht="15">
      <c r="A228" s="140">
        <v>322</v>
      </c>
      <c r="B228" s="116" t="s">
        <v>11</v>
      </c>
      <c r="C228" s="145">
        <f>SUM(C229:C232)</f>
        <v>103658.25</v>
      </c>
      <c r="D228" s="145">
        <f>SUM(D229:D232)</f>
        <v>140000</v>
      </c>
      <c r="E228" s="145">
        <f>SUM(E229:E232)</f>
        <v>140000</v>
      </c>
      <c r="F228" s="145">
        <f>SUM(F229:F232)</f>
        <v>125012.33</v>
      </c>
      <c r="G228" s="113">
        <f>F228/C228*100</f>
        <v>120.60046354245803</v>
      </c>
      <c r="H228" s="232">
        <f>F228/E228*100</f>
        <v>89.29452142857143</v>
      </c>
      <c r="I228" s="19"/>
      <c r="J228" s="19"/>
      <c r="K228" s="19"/>
      <c r="L228" s="19"/>
      <c r="M228" s="19"/>
    </row>
    <row r="229" spans="1:13" s="31" customFormat="1" ht="15">
      <c r="A229" s="16" t="s">
        <v>60</v>
      </c>
      <c r="B229" s="17" t="s">
        <v>12</v>
      </c>
      <c r="C229" s="98">
        <v>0</v>
      </c>
      <c r="D229" s="96">
        <v>3000</v>
      </c>
      <c r="E229" s="96">
        <v>3000</v>
      </c>
      <c r="F229" s="96">
        <v>2481.6</v>
      </c>
      <c r="G229" s="25" t="e">
        <f>F229/C229*100</f>
        <v>#DIV/0!</v>
      </c>
      <c r="H229" s="233">
        <f>F229/E229*100</f>
        <v>82.72</v>
      </c>
      <c r="I229" s="19"/>
      <c r="J229" s="19"/>
      <c r="K229" s="19"/>
      <c r="L229" s="19"/>
      <c r="M229" s="19"/>
    </row>
    <row r="230" spans="1:16" s="9" customFormat="1" ht="15">
      <c r="A230" s="16">
        <v>3222</v>
      </c>
      <c r="B230" s="17" t="s">
        <v>95</v>
      </c>
      <c r="C230" s="98">
        <v>96757</v>
      </c>
      <c r="D230" s="96">
        <v>130000</v>
      </c>
      <c r="E230" s="96">
        <v>130000</v>
      </c>
      <c r="F230" s="96">
        <v>118209.12</v>
      </c>
      <c r="G230" s="25">
        <f aca="true" t="shared" si="13" ref="G230:G237">F230/C230*100</f>
        <v>122.17112973738334</v>
      </c>
      <c r="H230" s="233">
        <f aca="true" t="shared" si="14" ref="H230:H236">F230/E230*100</f>
        <v>90.9300923076923</v>
      </c>
      <c r="I230" s="8"/>
      <c r="J230" s="8"/>
      <c r="K230" s="8"/>
      <c r="L230" s="8"/>
      <c r="M230" s="8"/>
      <c r="P230" s="15"/>
    </row>
    <row r="231" spans="1:16" s="9" customFormat="1" ht="30">
      <c r="A231" s="16">
        <v>3224</v>
      </c>
      <c r="B231" s="17" t="s">
        <v>182</v>
      </c>
      <c r="C231" s="98">
        <v>3702.25</v>
      </c>
      <c r="D231" s="96">
        <v>0</v>
      </c>
      <c r="E231" s="96">
        <v>0</v>
      </c>
      <c r="F231" s="96">
        <v>0</v>
      </c>
      <c r="G231" s="25">
        <f t="shared" si="13"/>
        <v>0</v>
      </c>
      <c r="H231" s="233">
        <v>0</v>
      </c>
      <c r="I231" s="8"/>
      <c r="J231" s="8"/>
      <c r="K231" s="8"/>
      <c r="L231" s="8"/>
      <c r="M231" s="8"/>
      <c r="P231" s="15"/>
    </row>
    <row r="232" spans="1:16" s="9" customFormat="1" ht="15">
      <c r="A232" s="16">
        <v>3225</v>
      </c>
      <c r="B232" s="17" t="s">
        <v>149</v>
      </c>
      <c r="C232" s="98">
        <v>3199</v>
      </c>
      <c r="D232" s="96">
        <v>7000</v>
      </c>
      <c r="E232" s="96">
        <v>7000</v>
      </c>
      <c r="F232" s="96">
        <v>4321.61</v>
      </c>
      <c r="G232" s="25">
        <f t="shared" si="13"/>
        <v>135.09252891528604</v>
      </c>
      <c r="H232" s="233">
        <f t="shared" si="14"/>
        <v>61.737285714285704</v>
      </c>
      <c r="I232" s="8"/>
      <c r="J232" s="8"/>
      <c r="K232" s="8"/>
      <c r="L232" s="8"/>
      <c r="M232" s="8"/>
      <c r="P232" s="15"/>
    </row>
    <row r="233" spans="1:16" s="9" customFormat="1" ht="15">
      <c r="A233" s="140">
        <v>323</v>
      </c>
      <c r="B233" s="116" t="s">
        <v>238</v>
      </c>
      <c r="C233" s="263"/>
      <c r="D233" s="227"/>
      <c r="E233" s="227"/>
      <c r="F233" s="227">
        <f>F234</f>
        <v>2312.5</v>
      </c>
      <c r="G233" s="113"/>
      <c r="H233" s="232"/>
      <c r="I233" s="8"/>
      <c r="J233" s="8"/>
      <c r="K233" s="8"/>
      <c r="L233" s="8"/>
      <c r="M233" s="8"/>
      <c r="P233" s="15"/>
    </row>
    <row r="234" spans="1:16" s="204" customFormat="1" ht="15">
      <c r="A234" s="16">
        <v>32399</v>
      </c>
      <c r="B234" s="17" t="s">
        <v>14</v>
      </c>
      <c r="C234" s="98"/>
      <c r="D234" s="96"/>
      <c r="E234" s="96"/>
      <c r="F234" s="96">
        <v>2312.5</v>
      </c>
      <c r="G234" s="25"/>
      <c r="H234" s="233"/>
      <c r="I234" s="203"/>
      <c r="J234" s="203"/>
      <c r="K234" s="203"/>
      <c r="L234" s="203"/>
      <c r="M234" s="203"/>
      <c r="P234" s="205"/>
    </row>
    <row r="235" spans="1:16" s="9" customFormat="1" ht="15">
      <c r="A235" s="155">
        <v>42</v>
      </c>
      <c r="B235" s="156" t="s">
        <v>111</v>
      </c>
      <c r="C235" s="157">
        <f>C236</f>
        <v>0</v>
      </c>
      <c r="D235" s="157">
        <f>D236</f>
        <v>8000</v>
      </c>
      <c r="E235" s="157">
        <f>E236</f>
        <v>8000</v>
      </c>
      <c r="F235" s="157">
        <f>F236</f>
        <v>0</v>
      </c>
      <c r="G235" s="109" t="e">
        <f t="shared" si="13"/>
        <v>#DIV/0!</v>
      </c>
      <c r="H235" s="256">
        <f t="shared" si="14"/>
        <v>0</v>
      </c>
      <c r="I235" s="8"/>
      <c r="J235" s="8"/>
      <c r="K235" s="8"/>
      <c r="L235" s="8"/>
      <c r="M235" s="8"/>
      <c r="P235" s="15"/>
    </row>
    <row r="236" spans="1:16" s="9" customFormat="1" ht="15.75" customHeight="1">
      <c r="A236" s="235">
        <v>422</v>
      </c>
      <c r="B236" s="236" t="s">
        <v>18</v>
      </c>
      <c r="C236" s="237">
        <f>SUM(C237:C237)</f>
        <v>0</v>
      </c>
      <c r="D236" s="237">
        <f>SUM(D237:D237)</f>
        <v>8000</v>
      </c>
      <c r="E236" s="237">
        <f>SUM(E237:E237)</f>
        <v>8000</v>
      </c>
      <c r="F236" s="237">
        <f>SUM(F237:F237)</f>
        <v>0</v>
      </c>
      <c r="G236" s="113" t="e">
        <f t="shared" si="13"/>
        <v>#DIV/0!</v>
      </c>
      <c r="H236" s="232">
        <f t="shared" si="14"/>
        <v>0</v>
      </c>
      <c r="I236" s="8"/>
      <c r="J236" s="8"/>
      <c r="K236" s="8"/>
      <c r="L236" s="8"/>
      <c r="M236" s="8"/>
      <c r="P236" s="15"/>
    </row>
    <row r="237" spans="1:16" s="9" customFormat="1" ht="15">
      <c r="A237" s="238">
        <v>4221</v>
      </c>
      <c r="B237" s="239" t="s">
        <v>84</v>
      </c>
      <c r="C237" s="240"/>
      <c r="D237" s="241">
        <v>8000</v>
      </c>
      <c r="E237" s="241">
        <v>8000</v>
      </c>
      <c r="F237" s="241">
        <v>0</v>
      </c>
      <c r="G237" s="242" t="e">
        <f t="shared" si="13"/>
        <v>#DIV/0!</v>
      </c>
      <c r="H237" s="243">
        <f>F237/E237*100</f>
        <v>0</v>
      </c>
      <c r="I237" s="8"/>
      <c r="J237" s="8"/>
      <c r="K237" s="8"/>
      <c r="L237" s="8"/>
      <c r="M237" s="8"/>
      <c r="P237" s="15"/>
    </row>
    <row r="238" spans="1:16" s="9" customFormat="1" ht="14.25" customHeight="1">
      <c r="A238" s="464" t="s">
        <v>3</v>
      </c>
      <c r="B238" s="465"/>
      <c r="C238" s="148">
        <f>SUM(C235,C227)</f>
        <v>103658.25</v>
      </c>
      <c r="D238" s="148">
        <f>SUM(D235,D227)</f>
        <v>148000</v>
      </c>
      <c r="E238" s="148">
        <f>SUM(E235,E227)</f>
        <v>148000</v>
      </c>
      <c r="F238" s="148">
        <f>SUM(F235,F227)</f>
        <v>127324.83</v>
      </c>
      <c r="G238" s="136">
        <f>F238/C238*100</f>
        <v>122.83135206314981</v>
      </c>
      <c r="H238" s="137">
        <f>F238/E238*100</f>
        <v>86.03029054054055</v>
      </c>
      <c r="I238" s="8"/>
      <c r="J238" s="8"/>
      <c r="K238" s="8"/>
      <c r="L238" s="8"/>
      <c r="M238" s="8"/>
      <c r="P238" s="15"/>
    </row>
    <row r="239" spans="2:16" s="9" customFormat="1" ht="14.25" customHeight="1">
      <c r="B239" s="7"/>
      <c r="C239" s="7"/>
      <c r="D239" s="8"/>
      <c r="E239" s="8"/>
      <c r="F239" s="8"/>
      <c r="G239" s="8"/>
      <c r="H239" s="8"/>
      <c r="I239" s="8"/>
      <c r="J239" s="8"/>
      <c r="K239" s="8"/>
      <c r="L239" s="8"/>
      <c r="M239" s="8"/>
      <c r="P239" s="15"/>
    </row>
    <row r="240" spans="2:16" s="9" customFormat="1" ht="16.5" customHeight="1">
      <c r="B240" s="7"/>
      <c r="C240" s="7"/>
      <c r="D240" s="8"/>
      <c r="E240" s="8"/>
      <c r="F240" s="8"/>
      <c r="G240" s="8"/>
      <c r="H240" s="8"/>
      <c r="I240" s="8"/>
      <c r="J240" s="8"/>
      <c r="K240" s="8"/>
      <c r="L240" s="8"/>
      <c r="M240" s="8"/>
      <c r="P240" s="15"/>
    </row>
    <row r="241" spans="1:16" s="9" customFormat="1" ht="15">
      <c r="A241" s="9" t="s">
        <v>160</v>
      </c>
      <c r="B241" s="7"/>
      <c r="C241" s="7"/>
      <c r="D241" s="8"/>
      <c r="E241" s="8"/>
      <c r="F241" s="8"/>
      <c r="G241" s="8"/>
      <c r="H241" s="8"/>
      <c r="I241" s="8"/>
      <c r="J241" s="8"/>
      <c r="K241" s="8"/>
      <c r="L241" s="8"/>
      <c r="M241" s="8"/>
      <c r="P241" s="15"/>
    </row>
    <row r="242" spans="1:16" s="9" customFormat="1" ht="15" customHeight="1">
      <c r="A242" s="444" t="s">
        <v>53</v>
      </c>
      <c r="B242" s="446" t="s">
        <v>0</v>
      </c>
      <c r="C242" s="446" t="s">
        <v>235</v>
      </c>
      <c r="D242" s="441" t="s">
        <v>132</v>
      </c>
      <c r="E242" s="441" t="s">
        <v>226</v>
      </c>
      <c r="F242" s="441" t="s">
        <v>241</v>
      </c>
      <c r="G242" s="441" t="s">
        <v>50</v>
      </c>
      <c r="H242" s="441" t="s">
        <v>50</v>
      </c>
      <c r="I242" s="8"/>
      <c r="J242" s="8"/>
      <c r="K242" s="8"/>
      <c r="L242" s="8"/>
      <c r="M242" s="8"/>
      <c r="P242" s="15"/>
    </row>
    <row r="243" spans="1:16" s="9" customFormat="1" ht="35.25" customHeight="1">
      <c r="A243" s="445"/>
      <c r="B243" s="447"/>
      <c r="C243" s="447"/>
      <c r="D243" s="442"/>
      <c r="E243" s="442"/>
      <c r="F243" s="442"/>
      <c r="G243" s="442"/>
      <c r="H243" s="442"/>
      <c r="I243" s="8"/>
      <c r="J243" s="8"/>
      <c r="K243" s="8"/>
      <c r="L243" s="8"/>
      <c r="M243" s="8"/>
      <c r="P243" s="15"/>
    </row>
    <row r="244" spans="1:16" s="9" customFormat="1" ht="15">
      <c r="A244" s="450">
        <v>1</v>
      </c>
      <c r="B244" s="450"/>
      <c r="C244" s="58">
        <v>2</v>
      </c>
      <c r="D244" s="59">
        <v>3</v>
      </c>
      <c r="E244" s="59">
        <v>4</v>
      </c>
      <c r="F244" s="59">
        <v>5</v>
      </c>
      <c r="G244" s="59" t="s">
        <v>51</v>
      </c>
      <c r="H244" s="59" t="s">
        <v>52</v>
      </c>
      <c r="I244" s="8"/>
      <c r="J244" s="8"/>
      <c r="K244" s="8"/>
      <c r="L244" s="8"/>
      <c r="M244" s="8"/>
      <c r="P244" s="15"/>
    </row>
    <row r="245" spans="1:16" s="9" customFormat="1" ht="15">
      <c r="A245" s="230">
        <v>32</v>
      </c>
      <c r="B245" s="215" t="s">
        <v>8</v>
      </c>
      <c r="C245" s="216">
        <f>C247</f>
        <v>0</v>
      </c>
      <c r="D245" s="216">
        <f>D247</f>
        <v>1360</v>
      </c>
      <c r="E245" s="216">
        <f>E247</f>
        <v>1360</v>
      </c>
      <c r="F245" s="216">
        <f>F247</f>
        <v>339.99</v>
      </c>
      <c r="G245" s="217" t="e">
        <f>F245/C245*100</f>
        <v>#DIV/0!</v>
      </c>
      <c r="H245" s="231">
        <f>F245/E245*100</f>
        <v>24.999264705882354</v>
      </c>
      <c r="I245" s="8"/>
      <c r="J245" s="8"/>
      <c r="K245" s="8"/>
      <c r="L245" s="8"/>
      <c r="M245" s="8"/>
      <c r="P245" s="15"/>
    </row>
    <row r="246" spans="1:16" s="9" customFormat="1" ht="15">
      <c r="A246" s="140">
        <v>321</v>
      </c>
      <c r="B246" s="116" t="s">
        <v>9</v>
      </c>
      <c r="C246" s="145">
        <f>SUM(C247:C247)</f>
        <v>0</v>
      </c>
      <c r="D246" s="145">
        <f>SUM(D247:D247)</f>
        <v>1360</v>
      </c>
      <c r="E246" s="145">
        <f>SUM(E247:E247)</f>
        <v>1360</v>
      </c>
      <c r="F246" s="145">
        <f>SUM(F247:F247)</f>
        <v>339.99</v>
      </c>
      <c r="G246" s="113" t="e">
        <f>F246/C246*100</f>
        <v>#DIV/0!</v>
      </c>
      <c r="H246" s="232">
        <v>0</v>
      </c>
      <c r="I246" s="8"/>
      <c r="J246" s="8"/>
      <c r="K246" s="8"/>
      <c r="L246" s="8"/>
      <c r="M246" s="8"/>
      <c r="P246" s="15"/>
    </row>
    <row r="247" spans="1:13" s="31" customFormat="1" ht="15">
      <c r="A247" s="238">
        <v>3214</v>
      </c>
      <c r="B247" s="239" t="s">
        <v>251</v>
      </c>
      <c r="C247" s="260">
        <v>0</v>
      </c>
      <c r="D247" s="242">
        <v>1360</v>
      </c>
      <c r="E247" s="242">
        <v>1360</v>
      </c>
      <c r="F247" s="242">
        <v>339.99</v>
      </c>
      <c r="G247" s="242">
        <v>0</v>
      </c>
      <c r="H247" s="243">
        <v>0</v>
      </c>
      <c r="I247" s="19"/>
      <c r="J247" s="19"/>
      <c r="K247" s="19"/>
      <c r="L247" s="19"/>
      <c r="M247" s="19"/>
    </row>
    <row r="248" spans="1:13" s="69" customFormat="1" ht="15" customHeight="1">
      <c r="A248" s="464" t="s">
        <v>3</v>
      </c>
      <c r="B248" s="465"/>
      <c r="C248" s="148">
        <f>SUM(C245)</f>
        <v>0</v>
      </c>
      <c r="D248" s="148">
        <f>SUM(D245)</f>
        <v>1360</v>
      </c>
      <c r="E248" s="148">
        <f>SUM(E245)</f>
        <v>1360</v>
      </c>
      <c r="F248" s="148">
        <f>SUM(F245)</f>
        <v>339.99</v>
      </c>
      <c r="G248" s="136" t="e">
        <f>F248/C248*100</f>
        <v>#DIV/0!</v>
      </c>
      <c r="H248" s="137">
        <f>F248/E248*100</f>
        <v>24.999264705882354</v>
      </c>
      <c r="I248" s="19"/>
      <c r="J248" s="19"/>
      <c r="K248" s="19"/>
      <c r="L248" s="19"/>
      <c r="M248" s="19"/>
    </row>
    <row r="249" spans="1:13" s="69" customFormat="1" ht="15" customHeight="1">
      <c r="A249" s="174"/>
      <c r="B249" s="174"/>
      <c r="C249" s="175"/>
      <c r="D249" s="175"/>
      <c r="E249" s="175"/>
      <c r="F249" s="175"/>
      <c r="G249" s="13"/>
      <c r="H249" s="13"/>
      <c r="I249" s="19"/>
      <c r="J249" s="19"/>
      <c r="K249" s="19"/>
      <c r="L249" s="19"/>
      <c r="M249" s="19"/>
    </row>
    <row r="250" spans="1:13" s="69" customFormat="1" ht="15" customHeight="1">
      <c r="A250" s="174"/>
      <c r="B250" s="174"/>
      <c r="C250" s="175"/>
      <c r="D250" s="175"/>
      <c r="E250" s="175"/>
      <c r="F250" s="175"/>
      <c r="G250" s="13"/>
      <c r="H250" s="13"/>
      <c r="I250" s="19"/>
      <c r="J250" s="19"/>
      <c r="K250" s="19"/>
      <c r="L250" s="19"/>
      <c r="M250" s="19"/>
    </row>
    <row r="251" spans="1:13" s="69" customFormat="1" ht="15" customHeight="1">
      <c r="A251" s="9" t="s">
        <v>161</v>
      </c>
      <c r="B251" s="7"/>
      <c r="C251" s="7"/>
      <c r="D251" s="8"/>
      <c r="E251" s="8"/>
      <c r="F251" s="8"/>
      <c r="G251" s="8"/>
      <c r="H251" s="8"/>
      <c r="I251" s="19"/>
      <c r="J251" s="19"/>
      <c r="K251" s="19"/>
      <c r="L251" s="19"/>
      <c r="M251" s="19"/>
    </row>
    <row r="252" spans="1:13" s="69" customFormat="1" ht="15" customHeight="1">
      <c r="A252" s="444" t="s">
        <v>53</v>
      </c>
      <c r="B252" s="446" t="s">
        <v>0</v>
      </c>
      <c r="C252" s="446" t="s">
        <v>235</v>
      </c>
      <c r="D252" s="441" t="s">
        <v>132</v>
      </c>
      <c r="E252" s="441" t="s">
        <v>226</v>
      </c>
      <c r="F252" s="441" t="s">
        <v>241</v>
      </c>
      <c r="G252" s="441" t="s">
        <v>50</v>
      </c>
      <c r="H252" s="441" t="s">
        <v>50</v>
      </c>
      <c r="I252" s="19"/>
      <c r="J252" s="19"/>
      <c r="K252" s="19"/>
      <c r="L252" s="19"/>
      <c r="M252" s="19"/>
    </row>
    <row r="253" spans="1:13" s="69" customFormat="1" ht="28.5" customHeight="1">
      <c r="A253" s="445"/>
      <c r="B253" s="447"/>
      <c r="C253" s="447"/>
      <c r="D253" s="442"/>
      <c r="E253" s="442"/>
      <c r="F253" s="442"/>
      <c r="G253" s="442"/>
      <c r="H253" s="442"/>
      <c r="I253" s="19"/>
      <c r="J253" s="19"/>
      <c r="K253" s="19"/>
      <c r="L253" s="19"/>
      <c r="M253" s="19"/>
    </row>
    <row r="254" spans="1:13" s="69" customFormat="1" ht="12.75" customHeight="1">
      <c r="A254" s="450">
        <v>1</v>
      </c>
      <c r="B254" s="450"/>
      <c r="C254" s="58">
        <v>2</v>
      </c>
      <c r="D254" s="59">
        <v>3</v>
      </c>
      <c r="E254" s="59">
        <v>4</v>
      </c>
      <c r="F254" s="59">
        <v>5</v>
      </c>
      <c r="G254" s="59" t="s">
        <v>51</v>
      </c>
      <c r="H254" s="59" t="s">
        <v>52</v>
      </c>
      <c r="I254" s="19"/>
      <c r="J254" s="19"/>
      <c r="K254" s="19"/>
      <c r="L254" s="19"/>
      <c r="M254" s="19"/>
    </row>
    <row r="255" spans="1:13" s="69" customFormat="1" ht="15" customHeight="1">
      <c r="A255" s="230">
        <v>32</v>
      </c>
      <c r="B255" s="215" t="s">
        <v>8</v>
      </c>
      <c r="C255" s="216">
        <f>C257</f>
        <v>0</v>
      </c>
      <c r="D255" s="216">
        <f>D257</f>
        <v>1360</v>
      </c>
      <c r="E255" s="216">
        <f>E257</f>
        <v>0</v>
      </c>
      <c r="F255" s="216">
        <f>F256</f>
        <v>2792</v>
      </c>
      <c r="G255" s="217" t="e">
        <f>F255/C255*100</f>
        <v>#DIV/0!</v>
      </c>
      <c r="H255" s="231" t="e">
        <f>F255/E255*100</f>
        <v>#DIV/0!</v>
      </c>
      <c r="I255" s="19"/>
      <c r="J255" s="19"/>
      <c r="K255" s="19"/>
      <c r="L255" s="19"/>
      <c r="M255" s="19"/>
    </row>
    <row r="256" spans="1:13" s="69" customFormat="1" ht="15" customHeight="1">
      <c r="A256" s="140">
        <v>321</v>
      </c>
      <c r="B256" s="116" t="s">
        <v>9</v>
      </c>
      <c r="C256" s="145">
        <f>SUM(C257:C257)</f>
        <v>0</v>
      </c>
      <c r="D256" s="145">
        <f>SUM(D257:D257)</f>
        <v>1360</v>
      </c>
      <c r="E256" s="145">
        <f>SUM(E257:E257)</f>
        <v>0</v>
      </c>
      <c r="F256" s="145">
        <f>SUM(F257:F258)</f>
        <v>2792</v>
      </c>
      <c r="G256" s="113" t="e">
        <f>F256/C256*100</f>
        <v>#DIV/0!</v>
      </c>
      <c r="H256" s="232">
        <v>0</v>
      </c>
      <c r="I256" s="19"/>
      <c r="J256" s="19"/>
      <c r="K256" s="19"/>
      <c r="L256" s="19"/>
      <c r="M256" s="19"/>
    </row>
    <row r="257" spans="1:13" s="69" customFormat="1" ht="15" customHeight="1">
      <c r="A257" s="16">
        <v>3211</v>
      </c>
      <c r="B257" s="17" t="s">
        <v>58</v>
      </c>
      <c r="C257" s="192">
        <v>0</v>
      </c>
      <c r="D257" s="18">
        <v>1360</v>
      </c>
      <c r="E257" s="18">
        <v>0</v>
      </c>
      <c r="F257" s="18">
        <v>2588</v>
      </c>
      <c r="G257" s="18">
        <v>0</v>
      </c>
      <c r="H257" s="202">
        <v>0</v>
      </c>
      <c r="I257" s="19"/>
      <c r="J257" s="19"/>
      <c r="K257" s="19"/>
      <c r="L257" s="19"/>
      <c r="M257" s="19"/>
    </row>
    <row r="258" spans="1:13" s="69" customFormat="1" ht="15" customHeight="1">
      <c r="A258" s="238">
        <v>3214</v>
      </c>
      <c r="B258" s="239" t="s">
        <v>251</v>
      </c>
      <c r="C258" s="260">
        <v>0</v>
      </c>
      <c r="D258" s="242">
        <v>1360</v>
      </c>
      <c r="E258" s="242">
        <v>0</v>
      </c>
      <c r="F258" s="242">
        <v>204</v>
      </c>
      <c r="G258" s="242">
        <v>0</v>
      </c>
      <c r="H258" s="243">
        <v>0</v>
      </c>
      <c r="I258" s="19"/>
      <c r="J258" s="19"/>
      <c r="K258" s="19"/>
      <c r="L258" s="19"/>
      <c r="M258" s="19"/>
    </row>
    <row r="259" spans="1:13" s="69" customFormat="1" ht="15" customHeight="1">
      <c r="A259" s="140">
        <v>322</v>
      </c>
      <c r="B259" s="116" t="s">
        <v>11</v>
      </c>
      <c r="C259" s="145">
        <f>SUM(C260:C260)</f>
        <v>0</v>
      </c>
      <c r="D259" s="145">
        <f>SUM(D260:D260)</f>
        <v>1360</v>
      </c>
      <c r="E259" s="145">
        <f>SUM(E260:E260)</f>
        <v>2000</v>
      </c>
      <c r="F259" s="145">
        <f>SUM(F260:F260)</f>
        <v>0</v>
      </c>
      <c r="G259" s="113" t="e">
        <f>F259/C259*100</f>
        <v>#DIV/0!</v>
      </c>
      <c r="H259" s="232">
        <v>0</v>
      </c>
      <c r="I259" s="19"/>
      <c r="J259" s="19"/>
      <c r="K259" s="19"/>
      <c r="L259" s="19"/>
      <c r="M259" s="19"/>
    </row>
    <row r="260" spans="1:13" s="69" customFormat="1" ht="15" customHeight="1">
      <c r="A260" s="238">
        <v>3221</v>
      </c>
      <c r="B260" s="239" t="s">
        <v>231</v>
      </c>
      <c r="C260" s="258">
        <v>0</v>
      </c>
      <c r="D260" s="241">
        <v>1360</v>
      </c>
      <c r="E260" s="241">
        <v>2000</v>
      </c>
      <c r="F260" s="241">
        <v>0</v>
      </c>
      <c r="G260" s="241">
        <v>0</v>
      </c>
      <c r="H260" s="259">
        <v>0</v>
      </c>
      <c r="I260" s="19"/>
      <c r="J260" s="19"/>
      <c r="K260" s="19"/>
      <c r="L260" s="19"/>
      <c r="M260" s="19"/>
    </row>
    <row r="261" spans="1:13" s="69" customFormat="1" ht="15" customHeight="1">
      <c r="A261" s="464" t="s">
        <v>3</v>
      </c>
      <c r="B261" s="465"/>
      <c r="C261" s="148">
        <f>SUM(C255)</f>
        <v>0</v>
      </c>
      <c r="D261" s="148">
        <f>SUM(D255)</f>
        <v>1360</v>
      </c>
      <c r="E261" s="148">
        <f>SUM(E255)</f>
        <v>0</v>
      </c>
      <c r="F261" s="148">
        <f>SUM(F255)</f>
        <v>2792</v>
      </c>
      <c r="G261" s="136" t="e">
        <f>F261/C261*100</f>
        <v>#DIV/0!</v>
      </c>
      <c r="H261" s="137" t="e">
        <f>F261/E261*100</f>
        <v>#DIV/0!</v>
      </c>
      <c r="I261" s="19"/>
      <c r="J261" s="19"/>
      <c r="K261" s="19"/>
      <c r="L261" s="19"/>
      <c r="M261" s="19"/>
    </row>
    <row r="262" spans="1:13" s="69" customFormat="1" ht="15" customHeight="1">
      <c r="A262" s="174"/>
      <c r="B262" s="174"/>
      <c r="C262" s="175"/>
      <c r="D262" s="175"/>
      <c r="E262" s="175"/>
      <c r="F262" s="175"/>
      <c r="G262" s="13"/>
      <c r="H262" s="13"/>
      <c r="I262" s="19"/>
      <c r="J262" s="19"/>
      <c r="K262" s="19"/>
      <c r="L262" s="19"/>
      <c r="M262" s="19"/>
    </row>
    <row r="263" spans="1:13" s="69" customFormat="1" ht="15" customHeight="1">
      <c r="A263" s="174"/>
      <c r="B263" s="174"/>
      <c r="C263" s="175"/>
      <c r="D263" s="175"/>
      <c r="E263" s="175"/>
      <c r="F263" s="175"/>
      <c r="G263" s="13"/>
      <c r="H263" s="13"/>
      <c r="I263" s="19"/>
      <c r="J263" s="19"/>
      <c r="K263" s="19"/>
      <c r="L263" s="19"/>
      <c r="M263" s="19"/>
    </row>
    <row r="264" spans="1:13" s="69" customFormat="1" ht="15" customHeight="1">
      <c r="A264" s="174"/>
      <c r="B264" s="174"/>
      <c r="C264" s="175"/>
      <c r="D264" s="175"/>
      <c r="E264" s="175"/>
      <c r="F264" s="175"/>
      <c r="G264" s="13"/>
      <c r="H264" s="13"/>
      <c r="I264" s="19"/>
      <c r="J264" s="19"/>
      <c r="K264" s="19"/>
      <c r="L264" s="19"/>
      <c r="M264" s="19"/>
    </row>
    <row r="265" spans="1:13" s="69" customFormat="1" ht="15" customHeight="1">
      <c r="A265" s="9"/>
      <c r="B265" s="7"/>
      <c r="C265" s="7"/>
      <c r="D265" s="8"/>
      <c r="E265" s="8"/>
      <c r="F265" s="8"/>
      <c r="G265" s="8"/>
      <c r="H265" s="8"/>
      <c r="I265" s="19"/>
      <c r="J265" s="19"/>
      <c r="K265" s="19"/>
      <c r="L265" s="19"/>
      <c r="M265" s="19"/>
    </row>
    <row r="266" spans="1:13" s="69" customFormat="1" ht="15" customHeight="1">
      <c r="A266" s="9"/>
      <c r="B266" s="7"/>
      <c r="C266" s="7"/>
      <c r="D266" s="8"/>
      <c r="E266" s="8"/>
      <c r="F266" s="8"/>
      <c r="G266" s="8"/>
      <c r="H266" s="8"/>
      <c r="I266" s="19"/>
      <c r="J266" s="19"/>
      <c r="K266" s="19"/>
      <c r="L266" s="19"/>
      <c r="M266" s="19"/>
    </row>
    <row r="267" spans="1:13" s="69" customFormat="1" ht="15" customHeight="1">
      <c r="A267" s="9"/>
      <c r="B267" s="7"/>
      <c r="C267" s="7"/>
      <c r="D267" s="8"/>
      <c r="E267" s="8"/>
      <c r="F267" s="8"/>
      <c r="G267" s="8"/>
      <c r="H267" s="8"/>
      <c r="I267" s="19"/>
      <c r="J267" s="19"/>
      <c r="K267" s="19"/>
      <c r="L267" s="19"/>
      <c r="M267" s="19"/>
    </row>
    <row r="268" spans="2:16" s="9" customFormat="1" ht="15">
      <c r="B268" s="7"/>
      <c r="C268" s="7"/>
      <c r="D268" s="8"/>
      <c r="E268" s="8"/>
      <c r="F268" s="8"/>
      <c r="G268" s="8"/>
      <c r="H268" s="8"/>
      <c r="I268" s="8"/>
      <c r="J268" s="8"/>
      <c r="K268" s="8"/>
      <c r="L268" s="8"/>
      <c r="M268" s="8"/>
      <c r="P268" s="15"/>
    </row>
    <row r="269" spans="1:13" s="69" customFormat="1" ht="15" customHeight="1">
      <c r="A269" s="9"/>
      <c r="B269" s="7"/>
      <c r="C269" s="7"/>
      <c r="D269" s="8"/>
      <c r="E269" s="8"/>
      <c r="F269" s="8"/>
      <c r="G269" s="8"/>
      <c r="H269" s="8"/>
      <c r="I269" s="19"/>
      <c r="J269" s="19"/>
      <c r="K269" s="19"/>
      <c r="L269" s="19"/>
      <c r="M269" s="19"/>
    </row>
    <row r="270" spans="1:13" s="69" customFormat="1" ht="15" customHeight="1">
      <c r="A270" s="488" t="s">
        <v>162</v>
      </c>
      <c r="B270" s="489"/>
      <c r="C270" s="344">
        <f aca="true" t="shared" si="15" ref="C270:H270">C286</f>
        <v>129933</v>
      </c>
      <c r="D270" s="344">
        <f t="shared" si="15"/>
        <v>160700</v>
      </c>
      <c r="E270" s="344">
        <f t="shared" si="15"/>
        <v>0</v>
      </c>
      <c r="F270" s="344">
        <f t="shared" si="15"/>
        <v>0</v>
      </c>
      <c r="G270" s="344">
        <f t="shared" si="15"/>
        <v>0</v>
      </c>
      <c r="H270" s="344" t="e">
        <f t="shared" si="15"/>
        <v>#DIV/0!</v>
      </c>
      <c r="I270" s="19"/>
      <c r="J270" s="19"/>
      <c r="K270" s="19"/>
      <c r="L270" s="19"/>
      <c r="M270" s="19"/>
    </row>
    <row r="271" spans="1:16" s="9" customFormat="1" ht="15">
      <c r="A271" s="9" t="s">
        <v>163</v>
      </c>
      <c r="B271" s="7"/>
      <c r="C271" s="7"/>
      <c r="D271" s="8"/>
      <c r="E271" s="8"/>
      <c r="F271" s="8"/>
      <c r="G271" s="8"/>
      <c r="H271" s="8"/>
      <c r="I271" s="8"/>
      <c r="J271" s="8"/>
      <c r="K271" s="8"/>
      <c r="L271" s="8"/>
      <c r="M271" s="8"/>
      <c r="P271" s="15"/>
    </row>
    <row r="272" spans="1:13" s="69" customFormat="1" ht="15" customHeight="1">
      <c r="A272" s="444" t="s">
        <v>53</v>
      </c>
      <c r="B272" s="446" t="s">
        <v>0</v>
      </c>
      <c r="C272" s="446" t="s">
        <v>235</v>
      </c>
      <c r="D272" s="441" t="s">
        <v>132</v>
      </c>
      <c r="E272" s="441" t="s">
        <v>226</v>
      </c>
      <c r="F272" s="441" t="s">
        <v>241</v>
      </c>
      <c r="G272" s="441" t="s">
        <v>50</v>
      </c>
      <c r="H272" s="441" t="s">
        <v>50</v>
      </c>
      <c r="I272" s="19"/>
      <c r="J272" s="19"/>
      <c r="K272" s="19"/>
      <c r="L272" s="19"/>
      <c r="M272" s="19"/>
    </row>
    <row r="273" spans="1:16" s="9" customFormat="1" ht="28.5" customHeight="1">
      <c r="A273" s="445"/>
      <c r="B273" s="447"/>
      <c r="C273" s="447"/>
      <c r="D273" s="442"/>
      <c r="E273" s="442"/>
      <c r="F273" s="442"/>
      <c r="G273" s="442"/>
      <c r="H273" s="442"/>
      <c r="I273" s="8"/>
      <c r="J273" s="8"/>
      <c r="K273" s="8"/>
      <c r="L273" s="8"/>
      <c r="M273" s="8"/>
      <c r="P273" s="15"/>
    </row>
    <row r="274" spans="1:13" s="31" customFormat="1" ht="12" customHeight="1">
      <c r="A274" s="450">
        <v>1</v>
      </c>
      <c r="B274" s="450"/>
      <c r="C274" s="58">
        <v>2</v>
      </c>
      <c r="D274" s="59">
        <v>3</v>
      </c>
      <c r="E274" s="59">
        <v>4</v>
      </c>
      <c r="F274" s="59">
        <v>5</v>
      </c>
      <c r="G274" s="59" t="s">
        <v>51</v>
      </c>
      <c r="H274" s="59" t="s">
        <v>52</v>
      </c>
      <c r="I274" s="19"/>
      <c r="J274" s="19"/>
      <c r="K274" s="19"/>
      <c r="L274" s="19"/>
      <c r="M274" s="19"/>
    </row>
    <row r="275" spans="1:13" s="31" customFormat="1" ht="15">
      <c r="A275" s="230">
        <v>31</v>
      </c>
      <c r="B275" s="215" t="s">
        <v>4</v>
      </c>
      <c r="C275" s="255">
        <f>SUM(C276,C278,C280)</f>
        <v>124628</v>
      </c>
      <c r="D275" s="255">
        <f>SUM(D276,D278,D280)</f>
        <v>148300</v>
      </c>
      <c r="E275" s="255">
        <f>SUM(E276,E278,E280)</f>
        <v>0</v>
      </c>
      <c r="F275" s="255">
        <f>SUM(F276,F278,F280)</f>
        <v>0</v>
      </c>
      <c r="G275" s="217">
        <f>F275/C275*100</f>
        <v>0</v>
      </c>
      <c r="H275" s="231" t="e">
        <f aca="true" t="shared" si="16" ref="H275:H285">F275/E275*100</f>
        <v>#DIV/0!</v>
      </c>
      <c r="I275" s="19"/>
      <c r="J275" s="19"/>
      <c r="K275" s="19"/>
      <c r="L275" s="19"/>
      <c r="M275" s="19"/>
    </row>
    <row r="276" spans="1:16" s="9" customFormat="1" ht="15">
      <c r="A276" s="140">
        <v>311</v>
      </c>
      <c r="B276" s="116" t="s">
        <v>114</v>
      </c>
      <c r="C276" s="151">
        <f>SUM(C277)</f>
        <v>100539</v>
      </c>
      <c r="D276" s="151">
        <f>SUM(D277)</f>
        <v>117000</v>
      </c>
      <c r="E276" s="151">
        <f>SUM(E277)</f>
        <v>0</v>
      </c>
      <c r="F276" s="151">
        <f>SUM(F277)</f>
        <v>0</v>
      </c>
      <c r="G276" s="113">
        <f>F276/C276*100</f>
        <v>0</v>
      </c>
      <c r="H276" s="232" t="e">
        <f t="shared" si="16"/>
        <v>#DIV/0!</v>
      </c>
      <c r="I276" s="8"/>
      <c r="J276" s="8"/>
      <c r="K276" s="8"/>
      <c r="L276" s="8"/>
      <c r="M276" s="8"/>
      <c r="P276" s="15"/>
    </row>
    <row r="277" spans="1:16" s="9" customFormat="1" ht="15">
      <c r="A277" s="16">
        <v>3111</v>
      </c>
      <c r="B277" s="17" t="s">
        <v>54</v>
      </c>
      <c r="C277" s="66">
        <v>100539</v>
      </c>
      <c r="D277" s="99">
        <v>117000</v>
      </c>
      <c r="E277" s="99">
        <v>0</v>
      </c>
      <c r="F277" s="99"/>
      <c r="G277" s="25">
        <f>F277/C277*100</f>
        <v>0</v>
      </c>
      <c r="H277" s="233" t="e">
        <f t="shared" si="16"/>
        <v>#DIV/0!</v>
      </c>
      <c r="I277" s="8"/>
      <c r="J277" s="8"/>
      <c r="K277" s="8"/>
      <c r="L277" s="8"/>
      <c r="M277" s="8"/>
      <c r="P277" s="15"/>
    </row>
    <row r="278" spans="1:16" s="9" customFormat="1" ht="15">
      <c r="A278" s="140">
        <v>312</v>
      </c>
      <c r="B278" s="116" t="s">
        <v>115</v>
      </c>
      <c r="C278" s="151">
        <f>SUM(C279)</f>
        <v>7500</v>
      </c>
      <c r="D278" s="151">
        <f>SUM(D279)</f>
        <v>12000</v>
      </c>
      <c r="E278" s="151">
        <f>SUM(E279)</f>
        <v>0</v>
      </c>
      <c r="F278" s="151">
        <f>SUM(F279)</f>
        <v>0</v>
      </c>
      <c r="G278" s="113">
        <f aca="true" t="shared" si="17" ref="G278:G285">F278/C278*100</f>
        <v>0</v>
      </c>
      <c r="H278" s="232" t="e">
        <f t="shared" si="16"/>
        <v>#DIV/0!</v>
      </c>
      <c r="I278" s="8"/>
      <c r="J278" s="8"/>
      <c r="K278" s="8"/>
      <c r="L278" s="8"/>
      <c r="M278" s="8"/>
      <c r="P278" s="15"/>
    </row>
    <row r="279" spans="1:16" s="9" customFormat="1" ht="15">
      <c r="A279" s="16">
        <v>3121</v>
      </c>
      <c r="B279" s="17" t="s">
        <v>115</v>
      </c>
      <c r="C279" s="66">
        <v>7500</v>
      </c>
      <c r="D279" s="66">
        <v>12000</v>
      </c>
      <c r="E279" s="66">
        <v>0</v>
      </c>
      <c r="F279" s="18"/>
      <c r="G279" s="18">
        <f t="shared" si="17"/>
        <v>0</v>
      </c>
      <c r="H279" s="202" t="e">
        <f t="shared" si="16"/>
        <v>#DIV/0!</v>
      </c>
      <c r="I279" s="8"/>
      <c r="J279" s="8"/>
      <c r="K279" s="8"/>
      <c r="L279" s="8"/>
      <c r="M279" s="8"/>
      <c r="P279" s="15"/>
    </row>
    <row r="280" spans="1:16" s="9" customFormat="1" ht="14.25" customHeight="1">
      <c r="A280" s="140">
        <v>313</v>
      </c>
      <c r="B280" s="116" t="s">
        <v>7</v>
      </c>
      <c r="C280" s="151">
        <f>SUM(C281:C281)</f>
        <v>16589</v>
      </c>
      <c r="D280" s="151">
        <f>SUM(D281:D281)</f>
        <v>19300</v>
      </c>
      <c r="E280" s="151">
        <f>SUM(E281:E281)</f>
        <v>0</v>
      </c>
      <c r="F280" s="151">
        <f>SUM(F281:F281)</f>
        <v>0</v>
      </c>
      <c r="G280" s="113">
        <f t="shared" si="17"/>
        <v>0</v>
      </c>
      <c r="H280" s="232" t="e">
        <f t="shared" si="16"/>
        <v>#DIV/0!</v>
      </c>
      <c r="I280" s="8"/>
      <c r="J280" s="8"/>
      <c r="K280" s="8"/>
      <c r="L280" s="8"/>
      <c r="M280" s="8"/>
      <c r="P280" s="15"/>
    </row>
    <row r="281" spans="1:16" s="9" customFormat="1" ht="30" customHeight="1">
      <c r="A281" s="16">
        <v>3132</v>
      </c>
      <c r="B281" s="17" t="s">
        <v>55</v>
      </c>
      <c r="C281" s="66">
        <v>16589</v>
      </c>
      <c r="D281" s="66">
        <v>19300</v>
      </c>
      <c r="E281" s="66">
        <v>0</v>
      </c>
      <c r="F281" s="18"/>
      <c r="G281" s="18">
        <f t="shared" si="17"/>
        <v>0</v>
      </c>
      <c r="H281" s="202" t="e">
        <f t="shared" si="16"/>
        <v>#DIV/0!</v>
      </c>
      <c r="I281" s="8"/>
      <c r="J281" s="8"/>
      <c r="K281" s="8"/>
      <c r="L281" s="8"/>
      <c r="M281" s="8"/>
      <c r="P281" s="15"/>
    </row>
    <row r="282" spans="1:16" s="9" customFormat="1" ht="15">
      <c r="A282" s="139">
        <v>32</v>
      </c>
      <c r="B282" s="127" t="s">
        <v>8</v>
      </c>
      <c r="C282" s="150">
        <f>SUM(C283,)</f>
        <v>5305</v>
      </c>
      <c r="D282" s="150">
        <f>SUM(D283,)</f>
        <v>12400</v>
      </c>
      <c r="E282" s="150">
        <f>SUM(E283,)</f>
        <v>0</v>
      </c>
      <c r="F282" s="150">
        <f>SUM(F283,)</f>
        <v>0</v>
      </c>
      <c r="G282" s="109">
        <f t="shared" si="17"/>
        <v>0</v>
      </c>
      <c r="H282" s="256" t="e">
        <f t="shared" si="16"/>
        <v>#DIV/0!</v>
      </c>
      <c r="I282" s="8"/>
      <c r="J282" s="8"/>
      <c r="K282" s="8"/>
      <c r="L282" s="8"/>
      <c r="M282" s="8"/>
      <c r="P282" s="15"/>
    </row>
    <row r="283" spans="1:16" s="9" customFormat="1" ht="15">
      <c r="A283" s="140">
        <v>321</v>
      </c>
      <c r="B283" s="116" t="s">
        <v>9</v>
      </c>
      <c r="C283" s="151">
        <f>SUM(C284:C285)</f>
        <v>5305</v>
      </c>
      <c r="D283" s="151">
        <f>SUM(D284:D285)</f>
        <v>12400</v>
      </c>
      <c r="E283" s="151">
        <f>SUM(E284:E285)</f>
        <v>0</v>
      </c>
      <c r="F283" s="151">
        <f>SUM(F284:F285)</f>
        <v>0</v>
      </c>
      <c r="G283" s="113">
        <f t="shared" si="17"/>
        <v>0</v>
      </c>
      <c r="H283" s="232" t="e">
        <f t="shared" si="16"/>
        <v>#DIV/0!</v>
      </c>
      <c r="I283" s="8"/>
      <c r="J283" s="8"/>
      <c r="K283" s="8"/>
      <c r="L283" s="8"/>
      <c r="M283" s="8"/>
      <c r="P283" s="15"/>
    </row>
    <row r="284" spans="1:16" s="9" customFormat="1" ht="15">
      <c r="A284" s="16">
        <v>3211</v>
      </c>
      <c r="B284" s="17" t="s">
        <v>58</v>
      </c>
      <c r="C284" s="66">
        <v>400</v>
      </c>
      <c r="D284" s="18">
        <v>1000</v>
      </c>
      <c r="E284" s="18">
        <v>0</v>
      </c>
      <c r="F284" s="18">
        <v>0</v>
      </c>
      <c r="G284" s="25">
        <f t="shared" si="17"/>
        <v>0</v>
      </c>
      <c r="H284" s="233" t="e">
        <f t="shared" si="16"/>
        <v>#DIV/0!</v>
      </c>
      <c r="I284" s="8"/>
      <c r="J284" s="8"/>
      <c r="K284" s="8"/>
      <c r="L284" s="8"/>
      <c r="M284" s="8"/>
      <c r="P284" s="15"/>
    </row>
    <row r="285" spans="1:13" s="31" customFormat="1" ht="30">
      <c r="A285" s="238">
        <v>3212</v>
      </c>
      <c r="B285" s="239" t="s">
        <v>10</v>
      </c>
      <c r="C285" s="240">
        <v>4905</v>
      </c>
      <c r="D285" s="241">
        <v>11400</v>
      </c>
      <c r="E285" s="241">
        <v>0</v>
      </c>
      <c r="F285" s="241">
        <v>0</v>
      </c>
      <c r="G285" s="242">
        <f t="shared" si="17"/>
        <v>0</v>
      </c>
      <c r="H285" s="257" t="e">
        <f t="shared" si="16"/>
        <v>#DIV/0!</v>
      </c>
      <c r="I285" s="19"/>
      <c r="J285" s="19"/>
      <c r="K285" s="19"/>
      <c r="L285" s="19"/>
      <c r="M285" s="19"/>
    </row>
    <row r="286" spans="1:16" s="9" customFormat="1" ht="15">
      <c r="A286" s="464" t="s">
        <v>3</v>
      </c>
      <c r="B286" s="465"/>
      <c r="C286" s="152">
        <f>SUM(C275,C282,)</f>
        <v>129933</v>
      </c>
      <c r="D286" s="152">
        <f>SUM(D275,D282,)</f>
        <v>160700</v>
      </c>
      <c r="E286" s="152">
        <f>SUM(E275,E282,)</f>
        <v>0</v>
      </c>
      <c r="F286" s="152">
        <f>SUM(F275,F282,)</f>
        <v>0</v>
      </c>
      <c r="G286" s="136">
        <f>F286/C286*100</f>
        <v>0</v>
      </c>
      <c r="H286" s="137" t="e">
        <f>F286/E286*100</f>
        <v>#DIV/0!</v>
      </c>
      <c r="I286" s="8"/>
      <c r="J286" s="8"/>
      <c r="K286" s="8"/>
      <c r="L286" s="8"/>
      <c r="M286" s="8"/>
      <c r="P286" s="15"/>
    </row>
    <row r="287" spans="2:16" s="9" customFormat="1" ht="15"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8"/>
      <c r="P287" s="15"/>
    </row>
    <row r="288" spans="2:16" s="9" customFormat="1" ht="15"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8"/>
      <c r="P288" s="15"/>
    </row>
    <row r="289" spans="2:16" s="9" customFormat="1" ht="15" customHeight="1"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P289" s="15"/>
    </row>
    <row r="290" spans="1:16" s="9" customFormat="1" ht="19.5">
      <c r="A290" s="468" t="s">
        <v>221</v>
      </c>
      <c r="B290" s="487"/>
      <c r="C290" s="208">
        <f>C298</f>
        <v>0</v>
      </c>
      <c r="D290" s="208">
        <f>D298</f>
        <v>0</v>
      </c>
      <c r="E290" s="208">
        <f>E298</f>
        <v>0</v>
      </c>
      <c r="F290" s="208">
        <f>F298</f>
        <v>0</v>
      </c>
      <c r="G290" s="208" t="e">
        <f>G298+G309</f>
        <v>#DIV/0!</v>
      </c>
      <c r="H290" s="208" t="e">
        <f>H298+H309</f>
        <v>#DIV/0!</v>
      </c>
      <c r="I290" s="8"/>
      <c r="J290" s="8"/>
      <c r="K290" s="8"/>
      <c r="L290" s="8"/>
      <c r="M290" s="8"/>
      <c r="P290" s="15"/>
    </row>
    <row r="291" spans="1:16" s="9" customFormat="1" ht="15">
      <c r="A291" s="9" t="s">
        <v>163</v>
      </c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8"/>
      <c r="P291" s="15"/>
    </row>
    <row r="292" spans="1:16" s="9" customFormat="1" ht="15">
      <c r="A292" s="444" t="s">
        <v>53</v>
      </c>
      <c r="B292" s="446" t="s">
        <v>0</v>
      </c>
      <c r="C292" s="446" t="s">
        <v>235</v>
      </c>
      <c r="D292" s="441" t="s">
        <v>132</v>
      </c>
      <c r="E292" s="441" t="s">
        <v>226</v>
      </c>
      <c r="F292" s="441" t="s">
        <v>241</v>
      </c>
      <c r="G292" s="441" t="s">
        <v>50</v>
      </c>
      <c r="H292" s="441" t="s">
        <v>50</v>
      </c>
      <c r="I292" s="8"/>
      <c r="J292" s="8"/>
      <c r="K292" s="8"/>
      <c r="L292" s="8"/>
      <c r="M292" s="8"/>
      <c r="P292" s="15"/>
    </row>
    <row r="293" spans="1:16" s="9" customFormat="1" ht="24.75" customHeight="1">
      <c r="A293" s="445"/>
      <c r="B293" s="447"/>
      <c r="C293" s="447"/>
      <c r="D293" s="442"/>
      <c r="E293" s="442"/>
      <c r="F293" s="442"/>
      <c r="G293" s="442"/>
      <c r="H293" s="442"/>
      <c r="I293" s="8"/>
      <c r="J293" s="8"/>
      <c r="K293" s="8"/>
      <c r="L293" s="8"/>
      <c r="M293" s="8"/>
      <c r="P293" s="15"/>
    </row>
    <row r="294" spans="1:16" s="9" customFormat="1" ht="12.75" customHeight="1">
      <c r="A294" s="450">
        <v>1</v>
      </c>
      <c r="B294" s="450"/>
      <c r="C294" s="58">
        <v>2</v>
      </c>
      <c r="D294" s="59">
        <v>3</v>
      </c>
      <c r="E294" s="59">
        <v>4</v>
      </c>
      <c r="F294" s="59">
        <v>5</v>
      </c>
      <c r="G294" s="59" t="s">
        <v>51</v>
      </c>
      <c r="H294" s="59" t="s">
        <v>52</v>
      </c>
      <c r="I294" s="8"/>
      <c r="J294" s="8"/>
      <c r="K294" s="8"/>
      <c r="L294" s="8"/>
      <c r="M294" s="8"/>
      <c r="P294" s="15"/>
    </row>
    <row r="295" spans="1:16" s="9" customFormat="1" ht="30">
      <c r="A295" s="230">
        <v>37</v>
      </c>
      <c r="B295" s="215" t="s">
        <v>19</v>
      </c>
      <c r="C295" s="217">
        <f>SUM(C296)</f>
        <v>0</v>
      </c>
      <c r="D295" s="217">
        <f aca="true" t="shared" si="18" ref="D295:F296">SUM(D296)</f>
        <v>0</v>
      </c>
      <c r="E295" s="217">
        <f t="shared" si="18"/>
        <v>0</v>
      </c>
      <c r="F295" s="217">
        <f t="shared" si="18"/>
        <v>0</v>
      </c>
      <c r="G295" s="217" t="e">
        <f>F295/C295*100</f>
        <v>#DIV/0!</v>
      </c>
      <c r="H295" s="231" t="e">
        <f>F295/E295*100</f>
        <v>#DIV/0!</v>
      </c>
      <c r="I295" s="8"/>
      <c r="J295" s="8"/>
      <c r="K295" s="8"/>
      <c r="L295" s="8"/>
      <c r="M295" s="8"/>
      <c r="P295" s="15"/>
    </row>
    <row r="296" spans="1:16" s="9" customFormat="1" ht="30">
      <c r="A296" s="140">
        <v>372</v>
      </c>
      <c r="B296" s="116" t="s">
        <v>130</v>
      </c>
      <c r="C296" s="154">
        <f>SUM(C297)</f>
        <v>0</v>
      </c>
      <c r="D296" s="154">
        <f t="shared" si="18"/>
        <v>0</v>
      </c>
      <c r="E296" s="154">
        <f t="shared" si="18"/>
        <v>0</v>
      </c>
      <c r="F296" s="154">
        <f t="shared" si="18"/>
        <v>0</v>
      </c>
      <c r="G296" s="113" t="e">
        <f>F296/C296*100</f>
        <v>#DIV/0!</v>
      </c>
      <c r="H296" s="232" t="e">
        <f>F296/E296*100</f>
        <v>#DIV/0!</v>
      </c>
      <c r="I296" s="8"/>
      <c r="J296" s="8"/>
      <c r="K296" s="8"/>
      <c r="L296" s="8"/>
      <c r="M296" s="8"/>
      <c r="P296" s="15"/>
    </row>
    <row r="297" spans="1:16" s="9" customFormat="1" ht="15">
      <c r="A297" s="251">
        <v>3722</v>
      </c>
      <c r="B297" s="252" t="s">
        <v>106</v>
      </c>
      <c r="C297" s="241">
        <v>0</v>
      </c>
      <c r="D297" s="241">
        <v>0</v>
      </c>
      <c r="E297" s="241">
        <v>0</v>
      </c>
      <c r="F297" s="241">
        <v>0</v>
      </c>
      <c r="G297" s="242" t="e">
        <f>F297/C297*100</f>
        <v>#DIV/0!</v>
      </c>
      <c r="H297" s="243" t="e">
        <f>F297/E297*100</f>
        <v>#DIV/0!</v>
      </c>
      <c r="I297" s="8"/>
      <c r="J297" s="8"/>
      <c r="K297" s="8"/>
      <c r="L297" s="8"/>
      <c r="M297" s="8"/>
      <c r="P297" s="15"/>
    </row>
    <row r="298" spans="1:16" s="9" customFormat="1" ht="15">
      <c r="A298" s="464" t="s">
        <v>3</v>
      </c>
      <c r="B298" s="465"/>
      <c r="C298" s="148">
        <f>C295</f>
        <v>0</v>
      </c>
      <c r="D298" s="148">
        <f>D295</f>
        <v>0</v>
      </c>
      <c r="E298" s="148">
        <f>E295</f>
        <v>0</v>
      </c>
      <c r="F298" s="148">
        <f>F295</f>
        <v>0</v>
      </c>
      <c r="G298" s="136" t="e">
        <f>F298/C298*100</f>
        <v>#DIV/0!</v>
      </c>
      <c r="H298" s="137" t="e">
        <f>F298/E298*100</f>
        <v>#DIV/0!</v>
      </c>
      <c r="I298" s="8"/>
      <c r="J298" s="8"/>
      <c r="K298" s="8"/>
      <c r="L298" s="8"/>
      <c r="M298" s="8"/>
      <c r="P298" s="15"/>
    </row>
    <row r="299" spans="2:16" s="9" customFormat="1" ht="15"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8"/>
      <c r="P299" s="15"/>
    </row>
    <row r="300" spans="2:16" s="9" customFormat="1" ht="14.25" customHeight="1"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8"/>
      <c r="P300" s="15"/>
    </row>
    <row r="301" spans="2:16" s="9" customFormat="1" ht="15">
      <c r="B301" s="7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8"/>
      <c r="P301" s="15"/>
    </row>
    <row r="302" spans="1:16" s="9" customFormat="1" ht="19.5">
      <c r="A302" s="468" t="s">
        <v>164</v>
      </c>
      <c r="B302" s="487"/>
      <c r="C302" s="208">
        <f>C310+C320</f>
        <v>309602</v>
      </c>
      <c r="D302" s="208">
        <f>D310+D320</f>
        <v>160000</v>
      </c>
      <c r="E302" s="208">
        <f>E310+E320</f>
        <v>307000</v>
      </c>
      <c r="F302" s="208">
        <f>F310+F320</f>
        <v>285191.7</v>
      </c>
      <c r="G302" s="208">
        <f>F302/E302*100</f>
        <v>92.89631921824105</v>
      </c>
      <c r="H302" s="208">
        <f>F302/E302*100</f>
        <v>92.89631921824105</v>
      </c>
      <c r="I302" s="8"/>
      <c r="J302" s="8"/>
      <c r="K302" s="8"/>
      <c r="L302" s="8"/>
      <c r="M302" s="8"/>
      <c r="P302" s="15"/>
    </row>
    <row r="303" spans="1:16" s="9" customFormat="1" ht="15">
      <c r="A303" s="9" t="s">
        <v>163</v>
      </c>
      <c r="B303" s="7"/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8"/>
      <c r="P303" s="15"/>
    </row>
    <row r="304" spans="1:16" s="9" customFormat="1" ht="15">
      <c r="A304" s="444" t="s">
        <v>53</v>
      </c>
      <c r="B304" s="446" t="s">
        <v>0</v>
      </c>
      <c r="C304" s="446" t="s">
        <v>235</v>
      </c>
      <c r="D304" s="441" t="s">
        <v>132</v>
      </c>
      <c r="E304" s="441" t="s">
        <v>226</v>
      </c>
      <c r="F304" s="441" t="s">
        <v>241</v>
      </c>
      <c r="G304" s="441" t="s">
        <v>50</v>
      </c>
      <c r="H304" s="441" t="s">
        <v>50</v>
      </c>
      <c r="I304" s="8"/>
      <c r="J304" s="8"/>
      <c r="K304" s="8"/>
      <c r="L304" s="8"/>
      <c r="M304" s="8"/>
      <c r="P304" s="15"/>
    </row>
    <row r="305" spans="1:16" s="31" customFormat="1" ht="25.5" customHeight="1">
      <c r="A305" s="445"/>
      <c r="B305" s="447"/>
      <c r="C305" s="447"/>
      <c r="D305" s="442"/>
      <c r="E305" s="442"/>
      <c r="F305" s="442"/>
      <c r="G305" s="442"/>
      <c r="H305" s="442"/>
      <c r="I305" s="19"/>
      <c r="J305" s="19"/>
      <c r="K305" s="19"/>
      <c r="L305" s="19"/>
      <c r="M305" s="19"/>
      <c r="P305" s="2"/>
    </row>
    <row r="306" spans="1:16" s="31" customFormat="1" ht="12" customHeight="1">
      <c r="A306" s="450">
        <v>1</v>
      </c>
      <c r="B306" s="450"/>
      <c r="C306" s="58">
        <v>2</v>
      </c>
      <c r="D306" s="59">
        <v>3</v>
      </c>
      <c r="E306" s="59">
        <v>4</v>
      </c>
      <c r="F306" s="59">
        <v>5</v>
      </c>
      <c r="G306" s="59" t="s">
        <v>51</v>
      </c>
      <c r="H306" s="59" t="s">
        <v>52</v>
      </c>
      <c r="I306" s="19"/>
      <c r="J306" s="19"/>
      <c r="K306" s="19"/>
      <c r="L306" s="19"/>
      <c r="M306" s="19"/>
      <c r="P306" s="2"/>
    </row>
    <row r="307" spans="1:16" s="31" customFormat="1" ht="30">
      <c r="A307" s="230">
        <v>37</v>
      </c>
      <c r="B307" s="215" t="s">
        <v>19</v>
      </c>
      <c r="C307" s="217">
        <f>SUM(C308)</f>
        <v>146206</v>
      </c>
      <c r="D307" s="217">
        <f aca="true" t="shared" si="19" ref="D307:F308">SUM(D308)</f>
        <v>0</v>
      </c>
      <c r="E307" s="217">
        <f t="shared" si="19"/>
        <v>147000</v>
      </c>
      <c r="F307" s="217">
        <f t="shared" si="19"/>
        <v>134778.92</v>
      </c>
      <c r="G307" s="217">
        <f>F307/C307*100</f>
        <v>92.18426056386195</v>
      </c>
      <c r="H307" s="231">
        <f>F307/E307*100</f>
        <v>91.68634013605444</v>
      </c>
      <c r="I307" s="19"/>
      <c r="J307" s="19"/>
      <c r="K307" s="19"/>
      <c r="L307" s="19"/>
      <c r="M307" s="19"/>
      <c r="P307" s="2"/>
    </row>
    <row r="308" spans="1:16" s="179" customFormat="1" ht="30">
      <c r="A308" s="140">
        <v>372</v>
      </c>
      <c r="B308" s="116" t="s">
        <v>130</v>
      </c>
      <c r="C308" s="154">
        <f>SUM(C309)</f>
        <v>146206</v>
      </c>
      <c r="D308" s="154">
        <f t="shared" si="19"/>
        <v>0</v>
      </c>
      <c r="E308" s="154">
        <f t="shared" si="19"/>
        <v>147000</v>
      </c>
      <c r="F308" s="154">
        <f t="shared" si="19"/>
        <v>134778.92</v>
      </c>
      <c r="G308" s="113">
        <f>F308/C308*100</f>
        <v>92.18426056386195</v>
      </c>
      <c r="H308" s="232">
        <f>F308/E308*100</f>
        <v>91.68634013605444</v>
      </c>
      <c r="I308" s="178"/>
      <c r="J308" s="178"/>
      <c r="K308" s="178"/>
      <c r="L308" s="178"/>
      <c r="M308" s="178"/>
      <c r="P308" s="180"/>
    </row>
    <row r="309" spans="1:16" s="31" customFormat="1" ht="15">
      <c r="A309" s="251">
        <v>3722</v>
      </c>
      <c r="B309" s="252" t="s">
        <v>106</v>
      </c>
      <c r="C309" s="241">
        <v>146206</v>
      </c>
      <c r="D309" s="241">
        <v>0</v>
      </c>
      <c r="E309" s="241">
        <v>147000</v>
      </c>
      <c r="F309" s="241">
        <v>134778.92</v>
      </c>
      <c r="G309" s="242">
        <f>F309/C309*100</f>
        <v>92.18426056386195</v>
      </c>
      <c r="H309" s="243">
        <f>F309/E309*100</f>
        <v>91.68634013605444</v>
      </c>
      <c r="I309" s="19"/>
      <c r="J309" s="19"/>
      <c r="K309" s="19"/>
      <c r="L309" s="19"/>
      <c r="M309" s="19"/>
      <c r="P309" s="2"/>
    </row>
    <row r="310" spans="1:16" s="9" customFormat="1" ht="15">
      <c r="A310" s="464" t="s">
        <v>3</v>
      </c>
      <c r="B310" s="465"/>
      <c r="C310" s="148">
        <f>C307</f>
        <v>146206</v>
      </c>
      <c r="D310" s="148">
        <f>D307</f>
        <v>0</v>
      </c>
      <c r="E310" s="148">
        <f>E307</f>
        <v>147000</v>
      </c>
      <c r="F310" s="148">
        <f>F307</f>
        <v>134778.92</v>
      </c>
      <c r="G310" s="136">
        <f>F310/C310*100</f>
        <v>92.18426056386195</v>
      </c>
      <c r="H310" s="137">
        <f>F310/E310*100</f>
        <v>91.68634013605444</v>
      </c>
      <c r="I310" s="8"/>
      <c r="J310" s="8"/>
      <c r="K310" s="8"/>
      <c r="L310" s="8"/>
      <c r="M310" s="8"/>
      <c r="P310" s="15"/>
    </row>
    <row r="311" spans="1:16" s="31" customFormat="1" ht="15">
      <c r="A311" s="9"/>
      <c r="B311" s="7"/>
      <c r="C311" s="7"/>
      <c r="D311" s="8"/>
      <c r="E311" s="8"/>
      <c r="F311" s="8"/>
      <c r="G311" s="8"/>
      <c r="H311" s="8"/>
      <c r="I311" s="19"/>
      <c r="J311" s="19"/>
      <c r="K311" s="19"/>
      <c r="L311" s="19"/>
      <c r="M311" s="19"/>
      <c r="P311" s="2"/>
    </row>
    <row r="312" spans="2:16" s="9" customFormat="1" ht="14.25" customHeight="1">
      <c r="B312" s="7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8"/>
      <c r="P312" s="15"/>
    </row>
    <row r="313" spans="1:16" s="9" customFormat="1" ht="15">
      <c r="A313" s="9" t="s">
        <v>165</v>
      </c>
      <c r="B313" s="7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8"/>
      <c r="P313" s="15"/>
    </row>
    <row r="314" spans="1:16" s="9" customFormat="1" ht="15">
      <c r="A314" s="444" t="s">
        <v>53</v>
      </c>
      <c r="B314" s="446" t="s">
        <v>0</v>
      </c>
      <c r="C314" s="446" t="s">
        <v>235</v>
      </c>
      <c r="D314" s="441" t="s">
        <v>132</v>
      </c>
      <c r="E314" s="441" t="s">
        <v>226</v>
      </c>
      <c r="F314" s="441" t="s">
        <v>241</v>
      </c>
      <c r="G314" s="441" t="s">
        <v>50</v>
      </c>
      <c r="H314" s="441" t="s">
        <v>50</v>
      </c>
      <c r="I314" s="8"/>
      <c r="J314" s="8"/>
      <c r="K314" s="8"/>
      <c r="L314" s="8"/>
      <c r="M314" s="8"/>
      <c r="P314" s="15"/>
    </row>
    <row r="315" spans="1:13" s="31" customFormat="1" ht="26.25" customHeight="1">
      <c r="A315" s="445"/>
      <c r="B315" s="447"/>
      <c r="C315" s="447"/>
      <c r="D315" s="442"/>
      <c r="E315" s="442"/>
      <c r="F315" s="442"/>
      <c r="G315" s="442"/>
      <c r="H315" s="442"/>
      <c r="I315" s="19"/>
      <c r="J315" s="19"/>
      <c r="K315" s="19"/>
      <c r="L315" s="19"/>
      <c r="M315" s="19"/>
    </row>
    <row r="316" spans="1:13" s="69" customFormat="1" ht="26.25" customHeight="1">
      <c r="A316" s="450">
        <v>1</v>
      </c>
      <c r="B316" s="450"/>
      <c r="C316" s="58">
        <v>2</v>
      </c>
      <c r="D316" s="59">
        <v>3</v>
      </c>
      <c r="E316" s="59">
        <v>4</v>
      </c>
      <c r="F316" s="59">
        <v>5</v>
      </c>
      <c r="G316" s="59" t="s">
        <v>51</v>
      </c>
      <c r="H316" s="59" t="s">
        <v>52</v>
      </c>
      <c r="I316" s="19"/>
      <c r="J316" s="19"/>
      <c r="K316" s="19"/>
      <c r="L316" s="19"/>
      <c r="M316" s="19"/>
    </row>
    <row r="317" spans="1:16" s="9" customFormat="1" ht="15">
      <c r="A317" s="248">
        <v>42</v>
      </c>
      <c r="B317" s="249" t="s">
        <v>111</v>
      </c>
      <c r="C317" s="250">
        <f>C318</f>
        <v>163396</v>
      </c>
      <c r="D317" s="250">
        <f>D318</f>
        <v>160000</v>
      </c>
      <c r="E317" s="250">
        <f>E318</f>
        <v>160000</v>
      </c>
      <c r="F317" s="250">
        <f>F318</f>
        <v>150412.78</v>
      </c>
      <c r="G317" s="217">
        <v>0</v>
      </c>
      <c r="H317" s="231">
        <v>0</v>
      </c>
      <c r="I317" s="8"/>
      <c r="J317" s="8"/>
      <c r="K317" s="8"/>
      <c r="L317" s="8"/>
      <c r="M317" s="8"/>
      <c r="P317" s="15"/>
    </row>
    <row r="318" spans="1:16" s="9" customFormat="1" ht="30">
      <c r="A318" s="140">
        <v>424</v>
      </c>
      <c r="B318" s="116" t="s">
        <v>129</v>
      </c>
      <c r="C318" s="141">
        <f>SUM(C319)</f>
        <v>163396</v>
      </c>
      <c r="D318" s="141">
        <f>SUM(D319)</f>
        <v>160000</v>
      </c>
      <c r="E318" s="141">
        <f>E319</f>
        <v>160000</v>
      </c>
      <c r="F318" s="141">
        <f>SUM(F319)</f>
        <v>150412.78</v>
      </c>
      <c r="G318" s="113">
        <f>F318/C318*100</f>
        <v>92.05413841220104</v>
      </c>
      <c r="H318" s="232">
        <f>F318/E318*100</f>
        <v>94.0079875</v>
      </c>
      <c r="I318" s="8"/>
      <c r="J318" s="8"/>
      <c r="K318" s="8"/>
      <c r="L318" s="8"/>
      <c r="M318" s="8"/>
      <c r="P318" s="15"/>
    </row>
    <row r="319" spans="1:16" s="9" customFormat="1" ht="15">
      <c r="A319" s="251">
        <v>4241</v>
      </c>
      <c r="B319" s="252" t="s">
        <v>103</v>
      </c>
      <c r="C319" s="253">
        <v>163396</v>
      </c>
      <c r="D319" s="247">
        <v>160000</v>
      </c>
      <c r="E319" s="247">
        <v>160000</v>
      </c>
      <c r="F319" s="254">
        <v>150412.78</v>
      </c>
      <c r="G319" s="242">
        <f>E319/C319*100</f>
        <v>97.92161374819457</v>
      </c>
      <c r="H319" s="243">
        <f>F319/E319*100</f>
        <v>94.0079875</v>
      </c>
      <c r="I319" s="8"/>
      <c r="J319" s="8"/>
      <c r="K319" s="8"/>
      <c r="L319" s="8"/>
      <c r="M319" s="8"/>
      <c r="P319" s="15"/>
    </row>
    <row r="320" spans="1:16" s="9" customFormat="1" ht="15">
      <c r="A320" s="464" t="s">
        <v>3</v>
      </c>
      <c r="B320" s="465"/>
      <c r="C320" s="148">
        <f>SUM(C317,)</f>
        <v>163396</v>
      </c>
      <c r="D320" s="148">
        <f>SUM(D317,)</f>
        <v>160000</v>
      </c>
      <c r="E320" s="148">
        <f>SUM(E317,)</f>
        <v>160000</v>
      </c>
      <c r="F320" s="148">
        <f>SUM(F317,)</f>
        <v>150412.78</v>
      </c>
      <c r="G320" s="136">
        <f>F320/C320*100</f>
        <v>92.05413841220104</v>
      </c>
      <c r="H320" s="137">
        <f>F320/E320*100</f>
        <v>94.0079875</v>
      </c>
      <c r="I320" s="8"/>
      <c r="J320" s="8"/>
      <c r="K320" s="8"/>
      <c r="L320" s="8"/>
      <c r="M320" s="8"/>
      <c r="P320" s="15"/>
    </row>
    <row r="321" spans="2:16" s="9" customFormat="1" ht="15">
      <c r="B321" s="7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8"/>
      <c r="P321" s="15"/>
    </row>
    <row r="322" spans="2:16" s="9" customFormat="1" ht="15">
      <c r="B322" s="7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8"/>
      <c r="P322" s="15"/>
    </row>
    <row r="323" spans="2:16" s="9" customFormat="1" ht="15">
      <c r="B323" s="7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8"/>
      <c r="P323" s="15"/>
    </row>
    <row r="324" spans="1:16" s="9" customFormat="1" ht="27" customHeight="1">
      <c r="A324" s="468" t="s">
        <v>166</v>
      </c>
      <c r="B324" s="487"/>
      <c r="C324" s="208">
        <f aca="true" t="shared" si="20" ref="C324:H324">C332</f>
        <v>0</v>
      </c>
      <c r="D324" s="208">
        <f t="shared" si="20"/>
        <v>3200</v>
      </c>
      <c r="E324" s="208">
        <f t="shared" si="20"/>
        <v>3200</v>
      </c>
      <c r="F324" s="208">
        <f t="shared" si="20"/>
        <v>2400</v>
      </c>
      <c r="G324" s="208" t="e">
        <f t="shared" si="20"/>
        <v>#DIV/0!</v>
      </c>
      <c r="H324" s="208">
        <f t="shared" si="20"/>
        <v>75</v>
      </c>
      <c r="I324" s="8"/>
      <c r="J324" s="8"/>
      <c r="K324" s="8"/>
      <c r="L324" s="8"/>
      <c r="M324" s="8"/>
      <c r="P324" s="15"/>
    </row>
    <row r="325" spans="1:16" s="9" customFormat="1" ht="15">
      <c r="A325" s="9" t="s">
        <v>163</v>
      </c>
      <c r="B325" s="7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8"/>
      <c r="P325" s="15"/>
    </row>
    <row r="326" spans="1:16" s="9" customFormat="1" ht="15">
      <c r="A326" s="444" t="s">
        <v>53</v>
      </c>
      <c r="B326" s="446" t="s">
        <v>0</v>
      </c>
      <c r="C326" s="446" t="s">
        <v>235</v>
      </c>
      <c r="D326" s="441" t="s">
        <v>132</v>
      </c>
      <c r="E326" s="441" t="s">
        <v>226</v>
      </c>
      <c r="F326" s="441" t="s">
        <v>241</v>
      </c>
      <c r="G326" s="441" t="s">
        <v>50</v>
      </c>
      <c r="H326" s="441" t="s">
        <v>50</v>
      </c>
      <c r="I326" s="8"/>
      <c r="J326" s="8"/>
      <c r="K326" s="8"/>
      <c r="L326" s="8"/>
      <c r="M326" s="8"/>
      <c r="P326" s="15"/>
    </row>
    <row r="327" spans="1:14" s="9" customFormat="1" ht="27.75" customHeight="1">
      <c r="A327" s="445"/>
      <c r="B327" s="447"/>
      <c r="C327" s="447"/>
      <c r="D327" s="442"/>
      <c r="E327" s="442"/>
      <c r="F327" s="442"/>
      <c r="G327" s="442"/>
      <c r="H327" s="442"/>
      <c r="I327" s="8"/>
      <c r="J327" s="8"/>
      <c r="K327" s="8"/>
      <c r="N327" s="15"/>
    </row>
    <row r="328" spans="1:16" s="9" customFormat="1" ht="13.5" customHeight="1">
      <c r="A328" s="450">
        <v>1</v>
      </c>
      <c r="B328" s="450"/>
      <c r="C328" s="58">
        <v>2</v>
      </c>
      <c r="D328" s="59">
        <v>3</v>
      </c>
      <c r="E328" s="59">
        <v>4</v>
      </c>
      <c r="F328" s="59">
        <v>5</v>
      </c>
      <c r="G328" s="59" t="s">
        <v>51</v>
      </c>
      <c r="H328" s="59" t="s">
        <v>52</v>
      </c>
      <c r="I328" s="8"/>
      <c r="J328" s="8"/>
      <c r="K328" s="8"/>
      <c r="L328" s="8"/>
      <c r="M328" s="8"/>
      <c r="P328" s="15"/>
    </row>
    <row r="329" spans="1:16" s="9" customFormat="1" ht="15" customHeight="1">
      <c r="A329" s="230">
        <v>32</v>
      </c>
      <c r="B329" s="215" t="s">
        <v>8</v>
      </c>
      <c r="C329" s="217">
        <f aca="true" t="shared" si="21" ref="C329:F330">SUM(C330)</f>
        <v>0</v>
      </c>
      <c r="D329" s="217">
        <f t="shared" si="21"/>
        <v>3200</v>
      </c>
      <c r="E329" s="217">
        <f t="shared" si="21"/>
        <v>3200</v>
      </c>
      <c r="F329" s="217">
        <f t="shared" si="21"/>
        <v>2400</v>
      </c>
      <c r="G329" s="217">
        <v>0</v>
      </c>
      <c r="H329" s="231">
        <v>0</v>
      </c>
      <c r="I329" s="8"/>
      <c r="J329" s="8"/>
      <c r="K329" s="8"/>
      <c r="L329" s="8"/>
      <c r="M329" s="8"/>
      <c r="P329" s="15"/>
    </row>
    <row r="330" spans="1:16" s="9" customFormat="1" ht="15">
      <c r="A330" s="140">
        <v>323</v>
      </c>
      <c r="B330" s="116" t="s">
        <v>48</v>
      </c>
      <c r="C330" s="154">
        <f t="shared" si="21"/>
        <v>0</v>
      </c>
      <c r="D330" s="154">
        <f t="shared" si="21"/>
        <v>3200</v>
      </c>
      <c r="E330" s="154">
        <f t="shared" si="21"/>
        <v>3200</v>
      </c>
      <c r="F330" s="154">
        <f t="shared" si="21"/>
        <v>2400</v>
      </c>
      <c r="G330" s="113">
        <v>0</v>
      </c>
      <c r="H330" s="232">
        <v>0</v>
      </c>
      <c r="I330" s="8"/>
      <c r="J330" s="8"/>
      <c r="K330" s="8"/>
      <c r="L330" s="8"/>
      <c r="M330" s="8"/>
      <c r="P330" s="15"/>
    </row>
    <row r="331" spans="1:16" s="9" customFormat="1" ht="15">
      <c r="A331" s="238">
        <v>3231</v>
      </c>
      <c r="B331" s="239" t="s">
        <v>167</v>
      </c>
      <c r="C331" s="246">
        <v>0</v>
      </c>
      <c r="D331" s="247">
        <v>3200</v>
      </c>
      <c r="E331" s="247">
        <v>3200</v>
      </c>
      <c r="F331" s="247">
        <v>2400</v>
      </c>
      <c r="G331" s="242">
        <v>0</v>
      </c>
      <c r="H331" s="243">
        <v>0</v>
      </c>
      <c r="I331" s="8"/>
      <c r="J331" s="8"/>
      <c r="K331" s="8"/>
      <c r="L331" s="8"/>
      <c r="M331" s="8"/>
      <c r="P331" s="15"/>
    </row>
    <row r="332" spans="1:16" s="9" customFormat="1" ht="15">
      <c r="A332" s="464" t="s">
        <v>3</v>
      </c>
      <c r="B332" s="465"/>
      <c r="C332" s="148">
        <f>SUM(C329,)</f>
        <v>0</v>
      </c>
      <c r="D332" s="148">
        <f>SUM(D329,)</f>
        <v>3200</v>
      </c>
      <c r="E332" s="148">
        <f>SUM(E329,)</f>
        <v>3200</v>
      </c>
      <c r="F332" s="148">
        <f>SUM(F329,)</f>
        <v>2400</v>
      </c>
      <c r="G332" s="136" t="e">
        <f>F332/C332*100</f>
        <v>#DIV/0!</v>
      </c>
      <c r="H332" s="137">
        <f>F332/E332*100</f>
        <v>75</v>
      </c>
      <c r="I332" s="8"/>
      <c r="J332" s="8"/>
      <c r="K332" s="8"/>
      <c r="L332" s="8"/>
      <c r="M332" s="8"/>
      <c r="P332" s="15"/>
    </row>
    <row r="333" spans="2:16" s="9" customFormat="1" ht="15">
      <c r="B333" s="7"/>
      <c r="C333" s="7"/>
      <c r="D333" s="8"/>
      <c r="E333" s="8"/>
      <c r="F333" s="8"/>
      <c r="G333" s="8"/>
      <c r="H333" s="8"/>
      <c r="I333" s="8"/>
      <c r="J333" s="8"/>
      <c r="K333" s="8"/>
      <c r="L333" s="8"/>
      <c r="M333" s="8"/>
      <c r="P333" s="15"/>
    </row>
    <row r="334" spans="2:16" s="9" customFormat="1" ht="15"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  <c r="M334" s="8"/>
      <c r="P334" s="15"/>
    </row>
    <row r="335" spans="2:16" s="9" customFormat="1" ht="15"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  <c r="M335" s="8"/>
      <c r="P335" s="15"/>
    </row>
    <row r="336" spans="2:16" s="9" customFormat="1" ht="15"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  <c r="M336" s="8"/>
      <c r="P336" s="15"/>
    </row>
    <row r="337" spans="2:16" s="9" customFormat="1" ht="15"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  <c r="M337" s="8"/>
      <c r="P337" s="15"/>
    </row>
    <row r="338" spans="1:16" s="9" customFormat="1" ht="32.25" customHeight="1">
      <c r="A338" s="468" t="s">
        <v>168</v>
      </c>
      <c r="B338" s="469"/>
      <c r="C338" s="344">
        <f>C362+C371</f>
        <v>10123</v>
      </c>
      <c r="D338" s="344">
        <f>D362+D371</f>
        <v>43005</v>
      </c>
      <c r="E338" s="344">
        <f>E362+E371</f>
        <v>45005</v>
      </c>
      <c r="F338" s="344">
        <f>F362+F371</f>
        <v>18628.049999999996</v>
      </c>
      <c r="G338" s="344">
        <f>F338/C338*100</f>
        <v>184.01708979551512</v>
      </c>
      <c r="H338" s="344">
        <f>F338/E338*100</f>
        <v>41.39106765914897</v>
      </c>
      <c r="I338" s="8"/>
      <c r="J338" s="8"/>
      <c r="K338" s="8"/>
      <c r="L338" s="8"/>
      <c r="M338" s="8"/>
      <c r="P338" s="15"/>
    </row>
    <row r="339" spans="1:16" s="9" customFormat="1" ht="15">
      <c r="A339" s="9" t="s">
        <v>159</v>
      </c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  <c r="M339" s="8"/>
      <c r="P339" s="15"/>
    </row>
    <row r="340" spans="1:16" s="9" customFormat="1" ht="14.25" customHeight="1">
      <c r="A340" s="444" t="s">
        <v>53</v>
      </c>
      <c r="B340" s="446" t="s">
        <v>0</v>
      </c>
      <c r="C340" s="446" t="s">
        <v>235</v>
      </c>
      <c r="D340" s="441" t="s">
        <v>132</v>
      </c>
      <c r="E340" s="441" t="s">
        <v>226</v>
      </c>
      <c r="F340" s="441" t="s">
        <v>241</v>
      </c>
      <c r="G340" s="441" t="s">
        <v>50</v>
      </c>
      <c r="H340" s="441" t="s">
        <v>50</v>
      </c>
      <c r="I340" s="8"/>
      <c r="J340" s="8"/>
      <c r="K340" s="8"/>
      <c r="L340" s="8"/>
      <c r="M340" s="8"/>
      <c r="P340" s="15"/>
    </row>
    <row r="341" spans="1:16" s="9" customFormat="1" ht="30" customHeight="1">
      <c r="A341" s="445"/>
      <c r="B341" s="447"/>
      <c r="C341" s="447"/>
      <c r="D341" s="442"/>
      <c r="E341" s="442"/>
      <c r="F341" s="442"/>
      <c r="G341" s="442"/>
      <c r="H341" s="442"/>
      <c r="I341" s="8"/>
      <c r="J341" s="8"/>
      <c r="K341" s="8"/>
      <c r="L341" s="8"/>
      <c r="M341" s="8"/>
      <c r="P341" s="15"/>
    </row>
    <row r="342" spans="1:16" s="9" customFormat="1" ht="12" customHeight="1">
      <c r="A342" s="450">
        <v>1</v>
      </c>
      <c r="B342" s="450"/>
      <c r="C342" s="58">
        <v>2</v>
      </c>
      <c r="D342" s="59">
        <v>3</v>
      </c>
      <c r="E342" s="59">
        <v>4</v>
      </c>
      <c r="F342" s="59">
        <v>5</v>
      </c>
      <c r="G342" s="59" t="s">
        <v>51</v>
      </c>
      <c r="H342" s="59" t="s">
        <v>52</v>
      </c>
      <c r="I342" s="8"/>
      <c r="J342" s="8"/>
      <c r="K342" s="8"/>
      <c r="L342" s="8"/>
      <c r="M342" s="8"/>
      <c r="P342" s="15"/>
    </row>
    <row r="343" spans="1:13" s="31" customFormat="1" ht="15">
      <c r="A343" s="230">
        <v>32</v>
      </c>
      <c r="B343" s="215" t="s">
        <v>8</v>
      </c>
      <c r="C343" s="216">
        <f>SUM(C348+C352+C354+C344,)</f>
        <v>5711</v>
      </c>
      <c r="D343" s="216">
        <f>SUM(D348+D352+D354+D344,)</f>
        <v>18605</v>
      </c>
      <c r="E343" s="216">
        <f>SUM(E348+E352+E354+E344,)</f>
        <v>20605</v>
      </c>
      <c r="F343" s="216">
        <f>SUM(F348+F352+F354+F344)</f>
        <v>18548.269999999997</v>
      </c>
      <c r="G343" s="217">
        <f>F343/C343*100</f>
        <v>324.7814743477499</v>
      </c>
      <c r="H343" s="231">
        <f>F343/E343*100</f>
        <v>90.01829652996844</v>
      </c>
      <c r="I343" s="19"/>
      <c r="J343" s="19"/>
      <c r="K343" s="19"/>
      <c r="L343" s="19"/>
      <c r="M343" s="19"/>
    </row>
    <row r="344" spans="1:16" s="9" customFormat="1" ht="15">
      <c r="A344" s="140">
        <v>322</v>
      </c>
      <c r="B344" s="116" t="s">
        <v>11</v>
      </c>
      <c r="C344" s="145">
        <f>SUM(C345:C347)</f>
        <v>0</v>
      </c>
      <c r="D344" s="145">
        <f>SUM(D345:D347)</f>
        <v>12005</v>
      </c>
      <c r="E344" s="145">
        <f>SUM(E345:E347)</f>
        <v>13005</v>
      </c>
      <c r="F344" s="145">
        <f>SUM(F345:F347)</f>
        <v>9263.55</v>
      </c>
      <c r="G344" s="113" t="e">
        <f>F344/C344*100</f>
        <v>#DIV/0!</v>
      </c>
      <c r="H344" s="232">
        <f>F344/E344*100</f>
        <v>71.23068050749711</v>
      </c>
      <c r="I344" s="8"/>
      <c r="J344" s="8"/>
      <c r="K344" s="8"/>
      <c r="L344" s="8"/>
      <c r="M344" s="8"/>
      <c r="P344" s="15"/>
    </row>
    <row r="345" spans="1:16" s="9" customFormat="1" ht="15">
      <c r="A345" s="16" t="s">
        <v>60</v>
      </c>
      <c r="B345" s="17" t="s">
        <v>12</v>
      </c>
      <c r="C345" s="98">
        <v>0</v>
      </c>
      <c r="D345" s="96">
        <v>4505</v>
      </c>
      <c r="E345" s="96">
        <v>5005</v>
      </c>
      <c r="F345" s="96">
        <v>1761.99</v>
      </c>
      <c r="G345" s="25" t="e">
        <f>F345/C345*100</f>
        <v>#DIV/0!</v>
      </c>
      <c r="H345" s="233">
        <f>F345/E345*100</f>
        <v>35.20459540459541</v>
      </c>
      <c r="I345" s="8"/>
      <c r="J345" s="8"/>
      <c r="K345" s="8"/>
      <c r="L345" s="8"/>
      <c r="M345" s="8"/>
      <c r="P345" s="15"/>
    </row>
    <row r="346" spans="1:16" s="9" customFormat="1" ht="15">
      <c r="A346" s="16">
        <v>3222</v>
      </c>
      <c r="B346" s="17" t="s">
        <v>95</v>
      </c>
      <c r="C346" s="98">
        <v>0</v>
      </c>
      <c r="D346" s="96"/>
      <c r="E346" s="96">
        <v>0</v>
      </c>
      <c r="F346" s="96">
        <v>483.22</v>
      </c>
      <c r="G346" s="25" t="e">
        <f>F346/C346*100</f>
        <v>#DIV/0!</v>
      </c>
      <c r="H346" s="233" t="e">
        <f>F346/E346*100</f>
        <v>#DIV/0!</v>
      </c>
      <c r="I346" s="8"/>
      <c r="J346" s="8"/>
      <c r="K346" s="8"/>
      <c r="L346" s="8"/>
      <c r="M346" s="8"/>
      <c r="P346" s="15"/>
    </row>
    <row r="347" spans="1:16" s="9" customFormat="1" ht="15">
      <c r="A347" s="16">
        <v>3225</v>
      </c>
      <c r="B347" s="17" t="s">
        <v>149</v>
      </c>
      <c r="C347" s="18">
        <v>0</v>
      </c>
      <c r="D347" s="96">
        <v>7500</v>
      </c>
      <c r="E347" s="96">
        <v>8000</v>
      </c>
      <c r="F347" s="96">
        <v>7018.34</v>
      </c>
      <c r="G347" s="25" t="e">
        <f>F347/C347*100</f>
        <v>#DIV/0!</v>
      </c>
      <c r="H347" s="233">
        <f aca="true" t="shared" si="22" ref="H347:H361">F347/E347*100</f>
        <v>87.72925000000001</v>
      </c>
      <c r="I347" s="8"/>
      <c r="J347" s="8"/>
      <c r="K347" s="8"/>
      <c r="L347" s="8"/>
      <c r="M347" s="8"/>
      <c r="P347" s="15"/>
    </row>
    <row r="348" spans="1:16" s="9" customFormat="1" ht="15">
      <c r="A348" s="140">
        <v>323</v>
      </c>
      <c r="B348" s="116" t="s">
        <v>48</v>
      </c>
      <c r="C348" s="151">
        <f>SUM(C349+C351+C350)</f>
        <v>5711</v>
      </c>
      <c r="D348" s="151">
        <f>SUM(D349+D351)</f>
        <v>3500</v>
      </c>
      <c r="E348" s="151">
        <f>SUM(E349+E351)</f>
        <v>4500</v>
      </c>
      <c r="F348" s="151">
        <f>SUM(F349+F351)</f>
        <v>5077.48</v>
      </c>
      <c r="G348" s="113">
        <v>0</v>
      </c>
      <c r="H348" s="233">
        <f t="shared" si="22"/>
        <v>112.83288888888887</v>
      </c>
      <c r="I348" s="8"/>
      <c r="J348" s="8"/>
      <c r="K348" s="8"/>
      <c r="L348" s="8"/>
      <c r="M348" s="8"/>
      <c r="P348" s="15"/>
    </row>
    <row r="349" spans="1:16" s="204" customFormat="1" ht="15">
      <c r="A349" s="16">
        <v>3231</v>
      </c>
      <c r="B349" s="17" t="s">
        <v>167</v>
      </c>
      <c r="C349" s="234">
        <v>0</v>
      </c>
      <c r="D349" s="199">
        <v>500</v>
      </c>
      <c r="E349" s="199">
        <v>500</v>
      </c>
      <c r="F349" s="199">
        <v>582.98</v>
      </c>
      <c r="G349" s="25">
        <v>0</v>
      </c>
      <c r="H349" s="233">
        <f t="shared" si="22"/>
        <v>116.596</v>
      </c>
      <c r="I349" s="203"/>
      <c r="J349" s="203"/>
      <c r="K349" s="203"/>
      <c r="L349" s="203"/>
      <c r="M349" s="203"/>
      <c r="P349" s="205"/>
    </row>
    <row r="350" spans="1:16" s="9" customFormat="1" ht="15">
      <c r="A350" s="16">
        <v>3237</v>
      </c>
      <c r="B350" s="17" t="s">
        <v>100</v>
      </c>
      <c r="C350" s="234">
        <v>0</v>
      </c>
      <c r="D350" s="199"/>
      <c r="E350" s="199">
        <v>0</v>
      </c>
      <c r="F350" s="199">
        <v>0</v>
      </c>
      <c r="G350" s="25">
        <v>0</v>
      </c>
      <c r="H350" s="233" t="e">
        <f t="shared" si="22"/>
        <v>#DIV/0!</v>
      </c>
      <c r="I350" s="8"/>
      <c r="J350" s="8"/>
      <c r="K350" s="8"/>
      <c r="L350" s="8"/>
      <c r="M350" s="8"/>
      <c r="P350" s="15"/>
    </row>
    <row r="351" spans="1:16" s="9" customFormat="1" ht="15">
      <c r="A351" s="16">
        <v>3239</v>
      </c>
      <c r="B351" s="17" t="s">
        <v>169</v>
      </c>
      <c r="C351" s="234">
        <v>5711</v>
      </c>
      <c r="D351" s="199">
        <v>3000</v>
      </c>
      <c r="E351" s="199">
        <v>4000</v>
      </c>
      <c r="F351" s="199">
        <v>4494.5</v>
      </c>
      <c r="G351" s="25">
        <v>0</v>
      </c>
      <c r="H351" s="233">
        <f t="shared" si="22"/>
        <v>112.36250000000001</v>
      </c>
      <c r="I351" s="8"/>
      <c r="J351" s="8"/>
      <c r="K351" s="8"/>
      <c r="L351" s="8"/>
      <c r="M351" s="8"/>
      <c r="P351" s="15"/>
    </row>
    <row r="352" spans="1:16" s="9" customFormat="1" ht="14.25" customHeight="1">
      <c r="A352" s="140">
        <v>324</v>
      </c>
      <c r="B352" s="116" t="s">
        <v>128</v>
      </c>
      <c r="C352" s="151">
        <f>SUM(C353)</f>
        <v>0</v>
      </c>
      <c r="D352" s="151">
        <f>SUM(D353)</f>
        <v>100</v>
      </c>
      <c r="E352" s="151">
        <f>SUM(E353)</f>
        <v>100</v>
      </c>
      <c r="F352" s="151">
        <f>SUM(F353)</f>
        <v>0</v>
      </c>
      <c r="G352" s="113" t="e">
        <f>F352/C352*100</f>
        <v>#DIV/0!</v>
      </c>
      <c r="H352" s="232">
        <f t="shared" si="22"/>
        <v>0</v>
      </c>
      <c r="I352" s="8"/>
      <c r="J352" s="8"/>
      <c r="K352" s="8"/>
      <c r="L352" s="8"/>
      <c r="M352" s="8"/>
      <c r="P352" s="15"/>
    </row>
    <row r="353" spans="1:16" s="204" customFormat="1" ht="30">
      <c r="A353" s="16">
        <v>3241</v>
      </c>
      <c r="B353" s="17" t="s">
        <v>128</v>
      </c>
      <c r="C353" s="98">
        <v>0</v>
      </c>
      <c r="D353" s="18">
        <v>100</v>
      </c>
      <c r="E353" s="18">
        <v>100</v>
      </c>
      <c r="F353" s="18">
        <v>0</v>
      </c>
      <c r="G353" s="25" t="e">
        <f>F353/C353*100</f>
        <v>#DIV/0!</v>
      </c>
      <c r="H353" s="233">
        <f t="shared" si="22"/>
        <v>0</v>
      </c>
      <c r="I353" s="203"/>
      <c r="J353" s="203"/>
      <c r="K353" s="203"/>
      <c r="L353" s="203"/>
      <c r="M353" s="203"/>
      <c r="P353" s="205"/>
    </row>
    <row r="354" spans="1:16" s="9" customFormat="1" ht="15">
      <c r="A354" s="140">
        <v>329</v>
      </c>
      <c r="B354" s="116" t="s">
        <v>15</v>
      </c>
      <c r="C354" s="151">
        <f>SUM(C355)</f>
        <v>0</v>
      </c>
      <c r="D354" s="151">
        <f>SUM(D355)</f>
        <v>3000</v>
      </c>
      <c r="E354" s="151">
        <f>SUM(E355)</f>
        <v>3000</v>
      </c>
      <c r="F354" s="151">
        <f>SUM(F355)</f>
        <v>4207.24</v>
      </c>
      <c r="G354" s="113" t="e">
        <f>F354/C354*100</f>
        <v>#DIV/0!</v>
      </c>
      <c r="H354" s="232">
        <f t="shared" si="22"/>
        <v>140.24133333333333</v>
      </c>
      <c r="I354" s="8"/>
      <c r="J354" s="8"/>
      <c r="K354" s="8"/>
      <c r="L354" s="8"/>
      <c r="M354" s="8"/>
      <c r="P354" s="15"/>
    </row>
    <row r="355" spans="1:16" s="204" customFormat="1" ht="15">
      <c r="A355" s="16" t="s">
        <v>80</v>
      </c>
      <c r="B355" s="17" t="s">
        <v>15</v>
      </c>
      <c r="C355" s="98">
        <v>0</v>
      </c>
      <c r="D355" s="18">
        <v>3000</v>
      </c>
      <c r="E355" s="18">
        <v>3000</v>
      </c>
      <c r="F355" s="18">
        <v>4207.24</v>
      </c>
      <c r="G355" s="25" t="e">
        <f>F355/C355*100</f>
        <v>#DIV/0!</v>
      </c>
      <c r="H355" s="233">
        <f t="shared" si="22"/>
        <v>140.24133333333333</v>
      </c>
      <c r="I355" s="203"/>
      <c r="J355" s="203"/>
      <c r="K355" s="203"/>
      <c r="L355" s="203"/>
      <c r="M355" s="203"/>
      <c r="P355" s="205"/>
    </row>
    <row r="356" spans="1:16" s="9" customFormat="1" ht="15">
      <c r="A356" s="155">
        <v>4</v>
      </c>
      <c r="B356" s="156" t="s">
        <v>113</v>
      </c>
      <c r="C356" s="157">
        <f>SUM(C357)</f>
        <v>3043</v>
      </c>
      <c r="D356" s="157">
        <f>SUM(D357)</f>
        <v>24400</v>
      </c>
      <c r="E356" s="157">
        <f>SUM(E357)</f>
        <v>24400</v>
      </c>
      <c r="F356" s="157">
        <f>SUM(F357)</f>
        <v>79.78</v>
      </c>
      <c r="G356" s="109">
        <v>0</v>
      </c>
      <c r="H356" s="256">
        <f t="shared" si="22"/>
        <v>0.32696721311475413</v>
      </c>
      <c r="I356" s="8"/>
      <c r="J356" s="8"/>
      <c r="K356" s="8"/>
      <c r="L356" s="8"/>
      <c r="M356" s="8"/>
      <c r="P356" s="15"/>
    </row>
    <row r="357" spans="1:16" s="206" customFormat="1" ht="15">
      <c r="A357" s="155">
        <v>42</v>
      </c>
      <c r="B357" s="156" t="s">
        <v>111</v>
      </c>
      <c r="C357" s="157">
        <f>SUM(C358,C360)</f>
        <v>3043</v>
      </c>
      <c r="D357" s="157">
        <f>SUM(D358,D360)</f>
        <v>24400</v>
      </c>
      <c r="E357" s="157">
        <f>SUM(E358,E360)</f>
        <v>24400</v>
      </c>
      <c r="F357" s="157">
        <f>SUM(F358,F360)</f>
        <v>79.78</v>
      </c>
      <c r="G357" s="109">
        <v>0</v>
      </c>
      <c r="H357" s="256">
        <f t="shared" si="22"/>
        <v>0.32696721311475413</v>
      </c>
      <c r="I357" s="185"/>
      <c r="J357" s="185"/>
      <c r="K357" s="185"/>
      <c r="L357" s="185"/>
      <c r="M357" s="185"/>
      <c r="P357" s="207"/>
    </row>
    <row r="358" spans="1:16" s="206" customFormat="1" ht="15">
      <c r="A358" s="235">
        <v>422</v>
      </c>
      <c r="B358" s="236" t="s">
        <v>18</v>
      </c>
      <c r="C358" s="237">
        <f>SUM(C359:C359)</f>
        <v>2765</v>
      </c>
      <c r="D358" s="237">
        <f>SUM(D359:D359)</f>
        <v>22000</v>
      </c>
      <c r="E358" s="237">
        <f>SUM(E359:E359)</f>
        <v>22000</v>
      </c>
      <c r="F358" s="237">
        <f>SUM(F359:F359)</f>
        <v>0</v>
      </c>
      <c r="G358" s="113">
        <v>0</v>
      </c>
      <c r="H358" s="232">
        <f t="shared" si="22"/>
        <v>0</v>
      </c>
      <c r="I358" s="185"/>
      <c r="J358" s="185"/>
      <c r="K358" s="185"/>
      <c r="L358" s="185"/>
      <c r="M358" s="185"/>
      <c r="P358" s="207"/>
    </row>
    <row r="359" spans="1:16" s="204" customFormat="1" ht="15">
      <c r="A359" s="16">
        <v>4221</v>
      </c>
      <c r="B359" s="17" t="s">
        <v>84</v>
      </c>
      <c r="C359" s="66">
        <v>2765</v>
      </c>
      <c r="D359" s="18">
        <v>22000</v>
      </c>
      <c r="E359" s="18">
        <v>22000</v>
      </c>
      <c r="F359" s="18">
        <v>0</v>
      </c>
      <c r="G359" s="25">
        <v>0</v>
      </c>
      <c r="H359" s="233">
        <f t="shared" si="22"/>
        <v>0</v>
      </c>
      <c r="I359" s="203"/>
      <c r="J359" s="203"/>
      <c r="K359" s="203"/>
      <c r="L359" s="203"/>
      <c r="M359" s="203"/>
      <c r="P359" s="205"/>
    </row>
    <row r="360" spans="1:16" ht="19.5" customHeight="1">
      <c r="A360" s="235">
        <v>424</v>
      </c>
      <c r="B360" s="236" t="s">
        <v>112</v>
      </c>
      <c r="C360" s="237">
        <f>SUM(C361)</f>
        <v>278</v>
      </c>
      <c r="D360" s="237">
        <f>SUM(D361)</f>
        <v>2400</v>
      </c>
      <c r="E360" s="237">
        <f>SUM(E361)</f>
        <v>2400</v>
      </c>
      <c r="F360" s="237">
        <f>SUM(F361)</f>
        <v>79.78</v>
      </c>
      <c r="G360" s="113">
        <v>0</v>
      </c>
      <c r="H360" s="232">
        <f t="shared" si="22"/>
        <v>3.3241666666666667</v>
      </c>
      <c r="I360" s="19"/>
      <c r="J360" s="19"/>
      <c r="K360" s="20"/>
      <c r="L360" s="20"/>
      <c r="M360" s="19"/>
      <c r="N360" s="2">
        <v>0</v>
      </c>
      <c r="O360" s="2">
        <v>0</v>
      </c>
      <c r="P360" s="15"/>
    </row>
    <row r="361" spans="1:16" s="204" customFormat="1" ht="15">
      <c r="A361" s="238">
        <v>4241</v>
      </c>
      <c r="B361" s="239" t="s">
        <v>103</v>
      </c>
      <c r="C361" s="240">
        <v>278</v>
      </c>
      <c r="D361" s="241">
        <v>2400</v>
      </c>
      <c r="E361" s="241">
        <v>2400</v>
      </c>
      <c r="F361" s="241">
        <v>79.78</v>
      </c>
      <c r="G361" s="242">
        <v>0</v>
      </c>
      <c r="H361" s="233">
        <f t="shared" si="22"/>
        <v>3.3241666666666667</v>
      </c>
      <c r="I361" s="203"/>
      <c r="J361" s="203"/>
      <c r="K361" s="203"/>
      <c r="L361" s="203"/>
      <c r="M361" s="203"/>
      <c r="P361" s="205"/>
    </row>
    <row r="362" spans="1:16" s="9" customFormat="1" ht="15" customHeight="1">
      <c r="A362" s="464" t="s">
        <v>3</v>
      </c>
      <c r="B362" s="465"/>
      <c r="C362" s="148">
        <f>SUM(C343+C356)</f>
        <v>8754</v>
      </c>
      <c r="D362" s="148">
        <f>SUM(D343+D356)</f>
        <v>43005</v>
      </c>
      <c r="E362" s="148">
        <f>SUM(E343+E356)</f>
        <v>45005</v>
      </c>
      <c r="F362" s="148">
        <f>SUM(F343+F356)</f>
        <v>18628.049999999996</v>
      </c>
      <c r="G362" s="136">
        <f>F362/C362*100</f>
        <v>212.79472241261135</v>
      </c>
      <c r="H362" s="137">
        <f>F362/E362*100</f>
        <v>41.39106765914897</v>
      </c>
      <c r="I362" s="8"/>
      <c r="J362" s="8"/>
      <c r="K362" s="8"/>
      <c r="L362" s="8"/>
      <c r="M362" s="8"/>
      <c r="P362" s="15"/>
    </row>
    <row r="363" spans="1:16" s="206" customFormat="1" ht="35.25" customHeight="1">
      <c r="A363" s="9"/>
      <c r="B363" s="7"/>
      <c r="C363" s="7"/>
      <c r="D363" s="8"/>
      <c r="E363" s="8"/>
      <c r="F363" s="8"/>
      <c r="G363" s="8"/>
      <c r="H363" s="8"/>
      <c r="I363" s="185"/>
      <c r="J363" s="185"/>
      <c r="K363" s="185"/>
      <c r="L363" s="185"/>
      <c r="M363" s="185"/>
      <c r="P363" s="207"/>
    </row>
    <row r="364" spans="1:16" s="9" customFormat="1" ht="15">
      <c r="A364" s="9" t="s">
        <v>183</v>
      </c>
      <c r="B364" s="7"/>
      <c r="C364" s="7"/>
      <c r="D364" s="8"/>
      <c r="E364" s="8"/>
      <c r="F364" s="8"/>
      <c r="G364" s="8"/>
      <c r="H364" s="8"/>
      <c r="I364" s="8"/>
      <c r="J364" s="8"/>
      <c r="K364" s="8"/>
      <c r="L364" s="8"/>
      <c r="M364" s="8"/>
      <c r="P364" s="15"/>
    </row>
    <row r="365" spans="1:16" s="9" customFormat="1" ht="15">
      <c r="A365" s="444" t="s">
        <v>53</v>
      </c>
      <c r="B365" s="446" t="s">
        <v>0</v>
      </c>
      <c r="C365" s="446" t="s">
        <v>235</v>
      </c>
      <c r="D365" s="441" t="s">
        <v>132</v>
      </c>
      <c r="E365" s="441" t="s">
        <v>226</v>
      </c>
      <c r="F365" s="441" t="s">
        <v>241</v>
      </c>
      <c r="G365" s="441" t="s">
        <v>50</v>
      </c>
      <c r="H365" s="441" t="s">
        <v>50</v>
      </c>
      <c r="I365" s="8"/>
      <c r="J365" s="8"/>
      <c r="K365" s="8"/>
      <c r="L365" s="8"/>
      <c r="M365" s="8"/>
      <c r="P365" s="15"/>
    </row>
    <row r="366" spans="1:16" s="9" customFormat="1" ht="27.75" customHeight="1">
      <c r="A366" s="445"/>
      <c r="B366" s="447"/>
      <c r="C366" s="447"/>
      <c r="D366" s="442"/>
      <c r="E366" s="442"/>
      <c r="F366" s="442"/>
      <c r="G366" s="442"/>
      <c r="H366" s="442"/>
      <c r="I366" s="8"/>
      <c r="J366" s="8"/>
      <c r="K366" s="8"/>
      <c r="L366" s="8"/>
      <c r="M366" s="8"/>
      <c r="P366" s="15"/>
    </row>
    <row r="367" spans="1:16" s="9" customFormat="1" ht="11.25" customHeight="1">
      <c r="A367" s="460">
        <v>1</v>
      </c>
      <c r="B367" s="461"/>
      <c r="C367" s="58">
        <v>2</v>
      </c>
      <c r="D367" s="59">
        <v>3</v>
      </c>
      <c r="E367" s="59">
        <v>4</v>
      </c>
      <c r="F367" s="59">
        <v>5</v>
      </c>
      <c r="G367" s="59" t="s">
        <v>51</v>
      </c>
      <c r="H367" s="59" t="s">
        <v>52</v>
      </c>
      <c r="I367" s="8"/>
      <c r="J367" s="8"/>
      <c r="K367" s="8"/>
      <c r="L367" s="8"/>
      <c r="M367" s="8"/>
      <c r="P367" s="15"/>
    </row>
    <row r="368" spans="1:16" s="9" customFormat="1" ht="15">
      <c r="A368" s="230">
        <v>32</v>
      </c>
      <c r="B368" s="215" t="s">
        <v>8</v>
      </c>
      <c r="C368" s="216">
        <f>SUM(C369,)</f>
        <v>1369</v>
      </c>
      <c r="D368" s="216">
        <f>SUM(D369,)</f>
        <v>0</v>
      </c>
      <c r="E368" s="216">
        <f>SUM(E369,)</f>
        <v>0</v>
      </c>
      <c r="F368" s="216">
        <f>SUM(F369,)</f>
        <v>0</v>
      </c>
      <c r="G368" s="216">
        <f>SUM(G369,)</f>
        <v>0</v>
      </c>
      <c r="H368" s="216">
        <v>0</v>
      </c>
      <c r="I368" s="8"/>
      <c r="J368" s="8"/>
      <c r="K368" s="8"/>
      <c r="L368" s="8"/>
      <c r="M368" s="8"/>
      <c r="P368" s="15"/>
    </row>
    <row r="369" spans="1:16" s="9" customFormat="1" ht="15">
      <c r="A369" s="140">
        <v>322</v>
      </c>
      <c r="B369" s="116" t="s">
        <v>11</v>
      </c>
      <c r="C369" s="145">
        <f>SUM(C370:C370)</f>
        <v>1369</v>
      </c>
      <c r="D369" s="145">
        <f>SUM(D370:D370)</f>
        <v>0</v>
      </c>
      <c r="E369" s="145">
        <f>SUM(E370:E370)</f>
        <v>0</v>
      </c>
      <c r="F369" s="145">
        <f>SUM(F370:F370)</f>
        <v>0</v>
      </c>
      <c r="G369" s="113">
        <f>F369/C369*100</f>
        <v>0</v>
      </c>
      <c r="H369" s="232">
        <v>0</v>
      </c>
      <c r="I369" s="8"/>
      <c r="J369" s="8"/>
      <c r="K369" s="8"/>
      <c r="L369" s="8"/>
      <c r="M369" s="8"/>
      <c r="P369" s="15"/>
    </row>
    <row r="370" spans="1:13" s="31" customFormat="1" ht="30">
      <c r="A370" s="238">
        <v>3224</v>
      </c>
      <c r="B370" s="239" t="s">
        <v>184</v>
      </c>
      <c r="C370" s="244">
        <v>1369</v>
      </c>
      <c r="D370" s="245">
        <v>0</v>
      </c>
      <c r="E370" s="245">
        <v>0</v>
      </c>
      <c r="F370" s="245">
        <v>0</v>
      </c>
      <c r="G370" s="242">
        <f>F370/C370*100</f>
        <v>0</v>
      </c>
      <c r="H370" s="243">
        <v>0</v>
      </c>
      <c r="I370" s="19"/>
      <c r="J370" s="19"/>
      <c r="K370" s="19"/>
      <c r="L370" s="19"/>
      <c r="M370" s="19"/>
    </row>
    <row r="371" spans="1:16" s="9" customFormat="1" ht="15">
      <c r="A371" s="464" t="s">
        <v>3</v>
      </c>
      <c r="B371" s="465"/>
      <c r="C371" s="148">
        <f aca="true" t="shared" si="23" ref="C371:H371">SUM(C368)</f>
        <v>1369</v>
      </c>
      <c r="D371" s="148">
        <f t="shared" si="23"/>
        <v>0</v>
      </c>
      <c r="E371" s="148">
        <f t="shared" si="23"/>
        <v>0</v>
      </c>
      <c r="F371" s="148">
        <f t="shared" si="23"/>
        <v>0</v>
      </c>
      <c r="G371" s="148">
        <f t="shared" si="23"/>
        <v>0</v>
      </c>
      <c r="H371" s="148">
        <f t="shared" si="23"/>
        <v>0</v>
      </c>
      <c r="I371" s="8"/>
      <c r="J371" s="8"/>
      <c r="K371" s="8"/>
      <c r="L371" s="8"/>
      <c r="M371" s="8"/>
      <c r="P371" s="15"/>
    </row>
    <row r="372" spans="1:13" s="69" customFormat="1" ht="15" customHeight="1">
      <c r="A372" s="9"/>
      <c r="B372" s="7"/>
      <c r="C372" s="7"/>
      <c r="D372" s="8"/>
      <c r="E372" s="8"/>
      <c r="F372" s="8"/>
      <c r="G372" s="8"/>
      <c r="H372" s="8"/>
      <c r="I372" s="19"/>
      <c r="J372" s="19"/>
      <c r="K372" s="19"/>
      <c r="L372" s="19"/>
      <c r="M372" s="19"/>
    </row>
    <row r="373" spans="2:16" s="9" customFormat="1" ht="15">
      <c r="B373" s="7"/>
      <c r="C373" s="7"/>
      <c r="D373" s="8"/>
      <c r="E373" s="8"/>
      <c r="F373" s="8"/>
      <c r="G373" s="8"/>
      <c r="H373" s="8"/>
      <c r="I373" s="8"/>
      <c r="J373" s="8"/>
      <c r="K373" s="8"/>
      <c r="L373" s="8"/>
      <c r="M373" s="8"/>
      <c r="P373" s="15"/>
    </row>
    <row r="374" spans="1:13" s="69" customFormat="1" ht="15" customHeight="1">
      <c r="A374" s="470" t="s">
        <v>170</v>
      </c>
      <c r="B374" s="470"/>
      <c r="C374" s="208">
        <f aca="true" t="shared" si="24" ref="C374:H374">C382</f>
        <v>13764</v>
      </c>
      <c r="D374" s="208">
        <f t="shared" si="24"/>
        <v>9500</v>
      </c>
      <c r="E374" s="208">
        <f t="shared" si="24"/>
        <v>9500</v>
      </c>
      <c r="F374" s="208">
        <f t="shared" si="24"/>
        <v>7031.25</v>
      </c>
      <c r="G374" s="208">
        <f t="shared" si="24"/>
        <v>51.08435047951178</v>
      </c>
      <c r="H374" s="208">
        <f t="shared" si="24"/>
        <v>74.01315789473685</v>
      </c>
      <c r="I374" s="19"/>
      <c r="J374" s="19"/>
      <c r="K374" s="19"/>
      <c r="L374" s="19"/>
      <c r="M374" s="19"/>
    </row>
    <row r="375" spans="1:13" s="69" customFormat="1" ht="15" customHeight="1">
      <c r="A375" s="9" t="s">
        <v>163</v>
      </c>
      <c r="B375" s="7"/>
      <c r="C375" s="7"/>
      <c r="D375" s="8"/>
      <c r="E375" s="8"/>
      <c r="F375" s="8"/>
      <c r="G375" s="8"/>
      <c r="H375" s="8"/>
      <c r="I375" s="19"/>
      <c r="J375" s="19"/>
      <c r="K375" s="19"/>
      <c r="L375" s="19"/>
      <c r="M375" s="19"/>
    </row>
    <row r="376" spans="1:16" s="9" customFormat="1" ht="15">
      <c r="A376" s="444" t="s">
        <v>53</v>
      </c>
      <c r="B376" s="446" t="s">
        <v>0</v>
      </c>
      <c r="C376" s="446" t="s">
        <v>235</v>
      </c>
      <c r="D376" s="441" t="s">
        <v>132</v>
      </c>
      <c r="E376" s="441" t="s">
        <v>226</v>
      </c>
      <c r="F376" s="441" t="s">
        <v>241</v>
      </c>
      <c r="G376" s="441" t="s">
        <v>50</v>
      </c>
      <c r="H376" s="441" t="s">
        <v>50</v>
      </c>
      <c r="I376" s="8"/>
      <c r="J376" s="8"/>
      <c r="K376" s="8"/>
      <c r="L376" s="8"/>
      <c r="M376" s="8"/>
      <c r="P376" s="15"/>
    </row>
    <row r="377" spans="1:16" s="9" customFormat="1" ht="25.5" customHeight="1">
      <c r="A377" s="445"/>
      <c r="B377" s="447"/>
      <c r="C377" s="447"/>
      <c r="D377" s="442"/>
      <c r="E377" s="442"/>
      <c r="F377" s="442"/>
      <c r="G377" s="442"/>
      <c r="H377" s="442"/>
      <c r="I377" s="8"/>
      <c r="J377" s="8"/>
      <c r="K377" s="8"/>
      <c r="L377" s="8"/>
      <c r="M377" s="8"/>
      <c r="P377" s="15"/>
    </row>
    <row r="378" spans="1:16" s="9" customFormat="1" ht="12" customHeight="1">
      <c r="A378" s="460">
        <v>1</v>
      </c>
      <c r="B378" s="461"/>
      <c r="C378" s="58">
        <v>2</v>
      </c>
      <c r="D378" s="59">
        <v>3</v>
      </c>
      <c r="E378" s="59">
        <v>4</v>
      </c>
      <c r="F378" s="59">
        <v>5</v>
      </c>
      <c r="G378" s="59" t="s">
        <v>51</v>
      </c>
      <c r="H378" s="59" t="s">
        <v>52</v>
      </c>
      <c r="I378" s="8"/>
      <c r="J378" s="8"/>
      <c r="K378" s="8"/>
      <c r="L378" s="8"/>
      <c r="M378" s="8"/>
      <c r="P378" s="15"/>
    </row>
    <row r="379" spans="1:16" s="9" customFormat="1" ht="15">
      <c r="A379" s="139">
        <v>32</v>
      </c>
      <c r="B379" s="127" t="s">
        <v>8</v>
      </c>
      <c r="C379" s="144">
        <f>SUM(C380,)</f>
        <v>13764</v>
      </c>
      <c r="D379" s="144">
        <f>SUM(D380,)</f>
        <v>9500</v>
      </c>
      <c r="E379" s="144">
        <f>SUM(E380,)</f>
        <v>9500</v>
      </c>
      <c r="F379" s="144">
        <f>SUM(F380,)</f>
        <v>7031.25</v>
      </c>
      <c r="G379" s="136">
        <f>F379/C379*100</f>
        <v>51.08435047951178</v>
      </c>
      <c r="H379" s="137">
        <f>F379/E379*100</f>
        <v>74.01315789473685</v>
      </c>
      <c r="I379" s="8"/>
      <c r="J379" s="8"/>
      <c r="K379" s="8"/>
      <c r="L379" s="8"/>
      <c r="M379" s="8"/>
      <c r="P379" s="15"/>
    </row>
    <row r="380" spans="1:16" s="9" customFormat="1" ht="15">
      <c r="A380" s="140">
        <v>323</v>
      </c>
      <c r="B380" s="116" t="s">
        <v>13</v>
      </c>
      <c r="C380" s="151">
        <f>SUM(C381:C381)</f>
        <v>13764</v>
      </c>
      <c r="D380" s="151">
        <f>SUM(D381:D381)</f>
        <v>9500</v>
      </c>
      <c r="E380" s="151">
        <f>SUM(E381:E381)</f>
        <v>9500</v>
      </c>
      <c r="F380" s="151">
        <f>SUM(F381:F381)</f>
        <v>7031.25</v>
      </c>
      <c r="G380" s="142">
        <f>F380/C380*100</f>
        <v>51.08435047951178</v>
      </c>
      <c r="H380" s="143">
        <f>F380/E380*100</f>
        <v>74.01315789473685</v>
      </c>
      <c r="I380" s="8"/>
      <c r="J380" s="8"/>
      <c r="K380" s="8"/>
      <c r="L380" s="8"/>
      <c r="M380" s="8"/>
      <c r="P380" s="15"/>
    </row>
    <row r="381" spans="1:16" s="9" customFormat="1" ht="15">
      <c r="A381" s="16" t="s">
        <v>72</v>
      </c>
      <c r="B381" s="17" t="s">
        <v>73</v>
      </c>
      <c r="C381" s="98">
        <v>13764</v>
      </c>
      <c r="D381" s="18">
        <v>9500</v>
      </c>
      <c r="E381" s="18">
        <v>9500</v>
      </c>
      <c r="F381" s="18">
        <v>7031.25</v>
      </c>
      <c r="G381" s="134">
        <f>F381/C381*100</f>
        <v>51.08435047951178</v>
      </c>
      <c r="H381" s="135">
        <f>F381/E381*100</f>
        <v>74.01315789473685</v>
      </c>
      <c r="I381" s="8"/>
      <c r="J381" s="8"/>
      <c r="K381" s="8"/>
      <c r="L381" s="8"/>
      <c r="M381" s="8"/>
      <c r="P381" s="15"/>
    </row>
    <row r="382" spans="1:16" s="9" customFormat="1" ht="15">
      <c r="A382" s="464" t="s">
        <v>3</v>
      </c>
      <c r="B382" s="465"/>
      <c r="C382" s="148">
        <f>SUM(C379)</f>
        <v>13764</v>
      </c>
      <c r="D382" s="148">
        <f>SUM(D379)</f>
        <v>9500</v>
      </c>
      <c r="E382" s="148">
        <f>SUM(E379)</f>
        <v>9500</v>
      </c>
      <c r="F382" s="148">
        <f>SUM(F379)</f>
        <v>7031.25</v>
      </c>
      <c r="G382" s="136">
        <f>F382/C382*100</f>
        <v>51.08435047951178</v>
      </c>
      <c r="H382" s="137">
        <f>F382/E382*100</f>
        <v>74.01315789473685</v>
      </c>
      <c r="I382" s="8"/>
      <c r="J382" s="8"/>
      <c r="K382" s="8"/>
      <c r="L382" s="8"/>
      <c r="M382" s="8"/>
      <c r="P382" s="15"/>
    </row>
    <row r="383" spans="2:16" s="9" customFormat="1" ht="15" customHeight="1">
      <c r="B383" s="7"/>
      <c r="C383" s="7"/>
      <c r="D383" s="8"/>
      <c r="E383" s="8"/>
      <c r="F383" s="8"/>
      <c r="G383" s="8"/>
      <c r="H383" s="8"/>
      <c r="I383" s="8"/>
      <c r="J383" s="8"/>
      <c r="K383" s="8"/>
      <c r="L383" s="8"/>
      <c r="M383" s="8"/>
      <c r="P383" s="15"/>
    </row>
    <row r="384" spans="2:16" s="9" customFormat="1" ht="35.25" customHeight="1">
      <c r="B384" s="7"/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P384" s="15"/>
    </row>
    <row r="385" spans="2:16" s="9" customFormat="1" ht="15">
      <c r="B385" s="7"/>
      <c r="C385" s="7"/>
      <c r="D385" s="8"/>
      <c r="E385" s="8"/>
      <c r="F385" s="8"/>
      <c r="G385" s="8"/>
      <c r="H385" s="8"/>
      <c r="I385" s="8"/>
      <c r="J385" s="8"/>
      <c r="K385" s="8"/>
      <c r="L385" s="8"/>
      <c r="M385" s="8"/>
      <c r="P385" s="15"/>
    </row>
    <row r="386" spans="1:16" s="9" customFormat="1" ht="18.75">
      <c r="A386" s="473" t="s">
        <v>174</v>
      </c>
      <c r="B386" s="474"/>
      <c r="C386" s="346">
        <f aca="true" t="shared" si="25" ref="C386:H386">C408</f>
        <v>0</v>
      </c>
      <c r="D386" s="346">
        <f t="shared" si="25"/>
        <v>165000</v>
      </c>
      <c r="E386" s="346">
        <f t="shared" si="25"/>
        <v>139950</v>
      </c>
      <c r="F386" s="346">
        <f t="shared" si="25"/>
        <v>106257.78</v>
      </c>
      <c r="G386" s="346" t="e">
        <f>F386/C386*100</f>
        <v>#DIV/0!</v>
      </c>
      <c r="H386" s="346">
        <f t="shared" si="25"/>
        <v>75.9255305466238</v>
      </c>
      <c r="I386" s="8"/>
      <c r="J386" s="8"/>
      <c r="K386" s="8"/>
      <c r="L386" s="8"/>
      <c r="M386" s="8"/>
      <c r="P386" s="15"/>
    </row>
    <row r="387" spans="1:16" s="9" customFormat="1" ht="15">
      <c r="A387" s="9" t="s">
        <v>171</v>
      </c>
      <c r="B387" s="7"/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8"/>
      <c r="P387" s="15"/>
    </row>
    <row r="388" spans="1:13" s="31" customFormat="1" ht="15">
      <c r="A388" s="444" t="s">
        <v>53</v>
      </c>
      <c r="B388" s="446" t="s">
        <v>0</v>
      </c>
      <c r="C388" s="446" t="s">
        <v>235</v>
      </c>
      <c r="D388" s="441" t="s">
        <v>132</v>
      </c>
      <c r="E388" s="441" t="s">
        <v>226</v>
      </c>
      <c r="F388" s="441" t="s">
        <v>244</v>
      </c>
      <c r="G388" s="441" t="s">
        <v>50</v>
      </c>
      <c r="H388" s="441" t="s">
        <v>50</v>
      </c>
      <c r="I388" s="19"/>
      <c r="J388" s="19"/>
      <c r="K388" s="19"/>
      <c r="L388" s="19"/>
      <c r="M388" s="19"/>
    </row>
    <row r="389" spans="1:13" s="69" customFormat="1" ht="27" customHeight="1">
      <c r="A389" s="445"/>
      <c r="B389" s="447"/>
      <c r="C389" s="447"/>
      <c r="D389" s="442"/>
      <c r="E389" s="442"/>
      <c r="F389" s="442"/>
      <c r="G389" s="442"/>
      <c r="H389" s="442"/>
      <c r="I389" s="19"/>
      <c r="J389" s="19"/>
      <c r="K389" s="19"/>
      <c r="L389" s="19"/>
      <c r="M389" s="19"/>
    </row>
    <row r="390" spans="1:13" s="69" customFormat="1" ht="13.5" customHeight="1">
      <c r="A390" s="460">
        <v>1</v>
      </c>
      <c r="B390" s="461"/>
      <c r="C390" s="58">
        <v>2</v>
      </c>
      <c r="D390" s="59">
        <v>3</v>
      </c>
      <c r="E390" s="59">
        <v>4</v>
      </c>
      <c r="F390" s="59">
        <v>5</v>
      </c>
      <c r="G390" s="59" t="s">
        <v>51</v>
      </c>
      <c r="H390" s="59" t="s">
        <v>52</v>
      </c>
      <c r="I390" s="19"/>
      <c r="J390" s="19"/>
      <c r="K390" s="19"/>
      <c r="L390" s="19"/>
      <c r="M390" s="19"/>
    </row>
    <row r="391" spans="1:16" s="9" customFormat="1" ht="15">
      <c r="A391" s="214">
        <v>32</v>
      </c>
      <c r="B391" s="215" t="s">
        <v>8</v>
      </c>
      <c r="C391" s="216">
        <f>SUM(C392,C396,C398,C402,)</f>
        <v>0</v>
      </c>
      <c r="D391" s="216">
        <f>SUM(D392,D396,D398,D402,)</f>
        <v>165000</v>
      </c>
      <c r="E391" s="216">
        <f>SUM(E392,E396,E398,E402,)</f>
        <v>139950</v>
      </c>
      <c r="F391" s="216">
        <f>SUM(F392,F396,F398,F402,F400)</f>
        <v>106203.84</v>
      </c>
      <c r="G391" s="217" t="e">
        <f>F391/C391*100</f>
        <v>#DIV/0!</v>
      </c>
      <c r="H391" s="218">
        <f>F391/E391*100</f>
        <v>75.88698821007502</v>
      </c>
      <c r="I391" s="8"/>
      <c r="J391" s="8"/>
      <c r="K391" s="8"/>
      <c r="L391" s="8"/>
      <c r="M391" s="8"/>
      <c r="P391" s="15"/>
    </row>
    <row r="392" spans="1:13" s="69" customFormat="1" ht="15" customHeight="1">
      <c r="A392" s="219">
        <v>321</v>
      </c>
      <c r="B392" s="116" t="s">
        <v>9</v>
      </c>
      <c r="C392" s="145">
        <f>SUM(C393:C395)</f>
        <v>0</v>
      </c>
      <c r="D392" s="145">
        <f>SUM(D393:D395)</f>
        <v>153000</v>
      </c>
      <c r="E392" s="145">
        <f>SUM(E393:E395)</f>
        <v>130950</v>
      </c>
      <c r="F392" s="145">
        <f>SUM(F393+F394)</f>
        <v>87885.84</v>
      </c>
      <c r="G392" s="113" t="e">
        <f>F392/C392*100</f>
        <v>#DIV/0!</v>
      </c>
      <c r="H392" s="347">
        <f aca="true" t="shared" si="26" ref="H392:H408">F392/E392*100</f>
        <v>67.11404352806414</v>
      </c>
      <c r="I392" s="19"/>
      <c r="J392" s="19"/>
      <c r="K392" s="19"/>
      <c r="L392" s="19"/>
      <c r="M392" s="19"/>
    </row>
    <row r="393" spans="1:13" s="69" customFormat="1" ht="15" customHeight="1">
      <c r="A393" s="220">
        <v>3211</v>
      </c>
      <c r="B393" s="221" t="s">
        <v>58</v>
      </c>
      <c r="C393" s="222">
        <v>0</v>
      </c>
      <c r="D393" s="223">
        <v>150000</v>
      </c>
      <c r="E393" s="223">
        <v>127950</v>
      </c>
      <c r="F393" s="223">
        <v>57005.42</v>
      </c>
      <c r="G393" s="224" t="e">
        <f>F393/C393*100</f>
        <v>#DIV/0!</v>
      </c>
      <c r="H393" s="348">
        <f t="shared" si="26"/>
        <v>44.55288784681516</v>
      </c>
      <c r="I393" s="19"/>
      <c r="J393" s="19"/>
      <c r="K393" s="19"/>
      <c r="L393" s="19"/>
      <c r="M393" s="19"/>
    </row>
    <row r="394" spans="1:16" s="211" customFormat="1" ht="15">
      <c r="A394" s="220">
        <v>3213</v>
      </c>
      <c r="B394" s="221" t="s">
        <v>232</v>
      </c>
      <c r="C394" s="222">
        <v>0</v>
      </c>
      <c r="D394" s="223"/>
      <c r="E394" s="223">
        <v>0</v>
      </c>
      <c r="F394" s="223">
        <v>30880.42</v>
      </c>
      <c r="G394" s="224" t="e">
        <f aca="true" t="shared" si="27" ref="G394:G404">F394/C394*100</f>
        <v>#DIV/0!</v>
      </c>
      <c r="H394" s="348" t="e">
        <f t="shared" si="26"/>
        <v>#DIV/0!</v>
      </c>
      <c r="I394" s="210"/>
      <c r="J394" s="210"/>
      <c r="K394" s="210"/>
      <c r="L394" s="210"/>
      <c r="M394" s="210"/>
      <c r="P394" s="212"/>
    </row>
    <row r="395" spans="1:16" s="211" customFormat="1" ht="30">
      <c r="A395" s="220">
        <v>3214</v>
      </c>
      <c r="B395" s="221" t="s">
        <v>148</v>
      </c>
      <c r="C395" s="222">
        <v>0</v>
      </c>
      <c r="D395" s="223">
        <v>3000</v>
      </c>
      <c r="E395" s="223">
        <v>3000</v>
      </c>
      <c r="F395" s="223">
        <v>0</v>
      </c>
      <c r="G395" s="224" t="e">
        <f t="shared" si="27"/>
        <v>#DIV/0!</v>
      </c>
      <c r="H395" s="348">
        <f t="shared" si="26"/>
        <v>0</v>
      </c>
      <c r="I395" s="210"/>
      <c r="J395" s="210"/>
      <c r="K395" s="210"/>
      <c r="L395" s="210"/>
      <c r="M395" s="210"/>
      <c r="P395" s="212"/>
    </row>
    <row r="396" spans="1:13" s="213" customFormat="1" ht="15" customHeight="1">
      <c r="A396" s="219">
        <v>322</v>
      </c>
      <c r="B396" s="116" t="s">
        <v>11</v>
      </c>
      <c r="C396" s="145">
        <f>SUM(C397:C397)</f>
        <v>0</v>
      </c>
      <c r="D396" s="145">
        <f>SUM(D397:D397)</f>
        <v>3000</v>
      </c>
      <c r="E396" s="145">
        <f>SUM(E397:E397)</f>
        <v>2500</v>
      </c>
      <c r="F396" s="145">
        <f>SUM(F397:F397)</f>
        <v>0</v>
      </c>
      <c r="G396" s="113" t="e">
        <f t="shared" si="27"/>
        <v>#DIV/0!</v>
      </c>
      <c r="H396" s="347">
        <f t="shared" si="26"/>
        <v>0</v>
      </c>
      <c r="I396" s="209"/>
      <c r="J396" s="209"/>
      <c r="K396" s="209"/>
      <c r="L396" s="209"/>
      <c r="M396" s="209"/>
    </row>
    <row r="397" spans="1:16" s="9" customFormat="1" ht="15">
      <c r="A397" s="225" t="s">
        <v>60</v>
      </c>
      <c r="B397" s="197" t="s">
        <v>12</v>
      </c>
      <c r="C397" s="193">
        <v>0</v>
      </c>
      <c r="D397" s="226">
        <v>3000</v>
      </c>
      <c r="E397" s="226">
        <v>2500</v>
      </c>
      <c r="F397" s="226">
        <v>0</v>
      </c>
      <c r="G397" s="186" t="e">
        <f t="shared" si="27"/>
        <v>#DIV/0!</v>
      </c>
      <c r="H397" s="348">
        <f t="shared" si="26"/>
        <v>0</v>
      </c>
      <c r="I397" s="8"/>
      <c r="J397" s="8"/>
      <c r="K397" s="8"/>
      <c r="L397" s="8"/>
      <c r="M397" s="8"/>
      <c r="P397" s="15"/>
    </row>
    <row r="398" spans="1:13" s="195" customFormat="1" ht="15" customHeight="1">
      <c r="A398" s="219">
        <v>323</v>
      </c>
      <c r="B398" s="116" t="s">
        <v>13</v>
      </c>
      <c r="C398" s="145">
        <f>SUM(C399:C399)</f>
        <v>0</v>
      </c>
      <c r="D398" s="145">
        <f>SUM(D399:D399)</f>
        <v>3000</v>
      </c>
      <c r="E398" s="145">
        <f>SUM(E399:E399)</f>
        <v>2500</v>
      </c>
      <c r="F398" s="145">
        <f>SUM(F399:F399)</f>
        <v>0</v>
      </c>
      <c r="G398" s="113" t="e">
        <f t="shared" si="27"/>
        <v>#DIV/0!</v>
      </c>
      <c r="H398" s="347">
        <f t="shared" si="26"/>
        <v>0</v>
      </c>
      <c r="I398" s="20"/>
      <c r="J398" s="20"/>
      <c r="K398" s="20"/>
      <c r="L398" s="20"/>
      <c r="M398" s="20"/>
    </row>
    <row r="399" spans="1:16" s="9" customFormat="1" ht="15">
      <c r="A399" s="225">
        <v>3233</v>
      </c>
      <c r="B399" s="197" t="s">
        <v>172</v>
      </c>
      <c r="C399" s="199">
        <v>0</v>
      </c>
      <c r="D399" s="226">
        <v>3000</v>
      </c>
      <c r="E399" s="226">
        <v>2500</v>
      </c>
      <c r="F399" s="226">
        <v>0</v>
      </c>
      <c r="G399" s="186" t="e">
        <f t="shared" si="27"/>
        <v>#DIV/0!</v>
      </c>
      <c r="H399" s="348">
        <f t="shared" si="26"/>
        <v>0</v>
      </c>
      <c r="I399" s="8"/>
      <c r="J399" s="8"/>
      <c r="K399" s="8"/>
      <c r="L399" s="8"/>
      <c r="M399" s="8"/>
      <c r="P399" s="15"/>
    </row>
    <row r="400" spans="1:16" s="176" customFormat="1" ht="15">
      <c r="A400" s="219">
        <v>324</v>
      </c>
      <c r="B400" s="116" t="s">
        <v>236</v>
      </c>
      <c r="C400" s="113">
        <v>0</v>
      </c>
      <c r="D400" s="227"/>
      <c r="E400" s="227">
        <v>0</v>
      </c>
      <c r="F400" s="227">
        <f>F401</f>
        <v>18318</v>
      </c>
      <c r="G400" s="113" t="e">
        <f t="shared" si="27"/>
        <v>#DIV/0!</v>
      </c>
      <c r="H400" s="347" t="e">
        <f t="shared" si="26"/>
        <v>#DIV/0!</v>
      </c>
      <c r="I400" s="13"/>
      <c r="J400" s="13"/>
      <c r="K400" s="13"/>
      <c r="L400" s="13"/>
      <c r="M400" s="13"/>
      <c r="P400" s="173"/>
    </row>
    <row r="401" spans="1:16" s="204" customFormat="1" ht="15">
      <c r="A401" s="225">
        <v>3241</v>
      </c>
      <c r="B401" s="197" t="s">
        <v>236</v>
      </c>
      <c r="C401" s="199">
        <v>0</v>
      </c>
      <c r="D401" s="226"/>
      <c r="E401" s="226">
        <v>0</v>
      </c>
      <c r="F401" s="226">
        <v>18318</v>
      </c>
      <c r="G401" s="186" t="e">
        <f t="shared" si="27"/>
        <v>#DIV/0!</v>
      </c>
      <c r="H401" s="348" t="e">
        <f t="shared" si="26"/>
        <v>#DIV/0!</v>
      </c>
      <c r="I401" s="203"/>
      <c r="J401" s="203"/>
      <c r="K401" s="203"/>
      <c r="L401" s="203"/>
      <c r="M401" s="203"/>
      <c r="P401" s="205"/>
    </row>
    <row r="402" spans="1:16" s="176" customFormat="1" ht="15">
      <c r="A402" s="219">
        <v>329</v>
      </c>
      <c r="B402" s="116" t="s">
        <v>15</v>
      </c>
      <c r="C402" s="145">
        <f>C403+C404</f>
        <v>0</v>
      </c>
      <c r="D402" s="145">
        <f>D403+D404</f>
        <v>6000</v>
      </c>
      <c r="E402" s="145">
        <f>E403+E404</f>
        <v>4000</v>
      </c>
      <c r="F402" s="145">
        <f>F403+F404</f>
        <v>0</v>
      </c>
      <c r="G402" s="113" t="e">
        <f t="shared" si="27"/>
        <v>#DIV/0!</v>
      </c>
      <c r="H402" s="347">
        <f t="shared" si="26"/>
        <v>0</v>
      </c>
      <c r="I402" s="13"/>
      <c r="J402" s="13"/>
      <c r="K402" s="13"/>
      <c r="L402" s="13"/>
      <c r="M402" s="13"/>
      <c r="P402" s="173"/>
    </row>
    <row r="403" spans="1:16" s="9" customFormat="1" ht="15">
      <c r="A403" s="225">
        <v>3292</v>
      </c>
      <c r="B403" s="197" t="s">
        <v>173</v>
      </c>
      <c r="C403" s="199">
        <v>0</v>
      </c>
      <c r="D403" s="226">
        <v>3000</v>
      </c>
      <c r="E403" s="226">
        <v>2500</v>
      </c>
      <c r="F403" s="226">
        <v>0</v>
      </c>
      <c r="G403" s="186" t="e">
        <f t="shared" si="27"/>
        <v>#DIV/0!</v>
      </c>
      <c r="H403" s="348">
        <f t="shared" si="26"/>
        <v>0</v>
      </c>
      <c r="I403" s="8"/>
      <c r="J403" s="8"/>
      <c r="K403" s="8"/>
      <c r="L403" s="8"/>
      <c r="M403" s="8"/>
      <c r="P403" s="15"/>
    </row>
    <row r="404" spans="1:16" s="176" customFormat="1" ht="15">
      <c r="A404" s="225">
        <v>3293</v>
      </c>
      <c r="B404" s="197" t="s">
        <v>78</v>
      </c>
      <c r="C404" s="199">
        <v>0</v>
      </c>
      <c r="D404" s="226">
        <v>3000</v>
      </c>
      <c r="E404" s="226">
        <v>1500</v>
      </c>
      <c r="F404" s="226">
        <v>0</v>
      </c>
      <c r="G404" s="186" t="e">
        <f t="shared" si="27"/>
        <v>#DIV/0!</v>
      </c>
      <c r="H404" s="348">
        <f t="shared" si="26"/>
        <v>0</v>
      </c>
      <c r="I404" s="13"/>
      <c r="J404" s="13"/>
      <c r="K404" s="13"/>
      <c r="L404" s="13"/>
      <c r="M404" s="13"/>
      <c r="P404" s="173"/>
    </row>
    <row r="405" spans="1:16" s="176" customFormat="1" ht="15">
      <c r="A405" s="228">
        <v>34</v>
      </c>
      <c r="B405" s="146" t="s">
        <v>16</v>
      </c>
      <c r="C405" s="147">
        <v>0</v>
      </c>
      <c r="D405" s="229"/>
      <c r="E405" s="229">
        <v>0</v>
      </c>
      <c r="F405" s="229">
        <f>F406</f>
        <v>53.94</v>
      </c>
      <c r="G405" s="109"/>
      <c r="H405" s="349" t="e">
        <f>F405/E405*100</f>
        <v>#DIV/0!</v>
      </c>
      <c r="I405" s="13"/>
      <c r="J405" s="13"/>
      <c r="K405" s="13"/>
      <c r="L405" s="13"/>
      <c r="M405" s="13"/>
      <c r="P405" s="173"/>
    </row>
    <row r="406" spans="1:16" s="206" customFormat="1" ht="15">
      <c r="A406" s="219">
        <v>343</v>
      </c>
      <c r="B406" s="116" t="s">
        <v>17</v>
      </c>
      <c r="C406" s="113">
        <v>0</v>
      </c>
      <c r="D406" s="227"/>
      <c r="E406" s="227">
        <v>0</v>
      </c>
      <c r="F406" s="227">
        <f>F407</f>
        <v>53.94</v>
      </c>
      <c r="G406" s="113"/>
      <c r="H406" s="347" t="e">
        <f t="shared" si="26"/>
        <v>#DIV/0!</v>
      </c>
      <c r="I406" s="185"/>
      <c r="J406" s="185"/>
      <c r="K406" s="185"/>
      <c r="L406" s="185"/>
      <c r="M406" s="185"/>
      <c r="P406" s="207"/>
    </row>
    <row r="407" spans="1:16" s="204" customFormat="1" ht="15">
      <c r="A407" s="350">
        <v>3431</v>
      </c>
      <c r="B407" s="351" t="s">
        <v>237</v>
      </c>
      <c r="C407" s="68">
        <v>0</v>
      </c>
      <c r="D407" s="352"/>
      <c r="E407" s="352">
        <v>0</v>
      </c>
      <c r="F407" s="352">
        <v>53.94</v>
      </c>
      <c r="G407" s="353"/>
      <c r="H407" s="354" t="e">
        <f t="shared" si="26"/>
        <v>#DIV/0!</v>
      </c>
      <c r="I407" s="203"/>
      <c r="J407" s="203"/>
      <c r="K407" s="203"/>
      <c r="L407" s="203"/>
      <c r="M407" s="203"/>
      <c r="P407" s="205"/>
    </row>
    <row r="408" spans="1:16" s="176" customFormat="1" ht="15">
      <c r="A408" s="464" t="s">
        <v>3</v>
      </c>
      <c r="B408" s="465"/>
      <c r="C408" s="148">
        <f>SUM(C391,)</f>
        <v>0</v>
      </c>
      <c r="D408" s="148">
        <f>SUM(D391,)</f>
        <v>165000</v>
      </c>
      <c r="E408" s="148">
        <f>SUM(E391,)</f>
        <v>139950</v>
      </c>
      <c r="F408" s="148">
        <f>SUM(F391+F405)</f>
        <v>106257.78</v>
      </c>
      <c r="G408" s="318" t="e">
        <f>F408/C408*100</f>
        <v>#DIV/0!</v>
      </c>
      <c r="H408" s="355">
        <f t="shared" si="26"/>
        <v>75.9255305466238</v>
      </c>
      <c r="I408" s="13"/>
      <c r="J408" s="13"/>
      <c r="K408" s="13"/>
      <c r="L408" s="13"/>
      <c r="M408" s="13"/>
      <c r="P408" s="173"/>
    </row>
    <row r="409" spans="2:16" s="9" customFormat="1" ht="15">
      <c r="B409" s="7"/>
      <c r="C409" s="7"/>
      <c r="D409" s="8"/>
      <c r="E409" s="8"/>
      <c r="F409" s="8"/>
      <c r="G409" s="8"/>
      <c r="H409" s="8"/>
      <c r="I409" s="8"/>
      <c r="J409" s="8"/>
      <c r="K409" s="8"/>
      <c r="L409" s="8"/>
      <c r="M409" s="8"/>
      <c r="P409" s="15"/>
    </row>
    <row r="410" spans="2:16" s="9" customFormat="1" ht="15.75" customHeight="1">
      <c r="B410" s="7"/>
      <c r="C410" s="7"/>
      <c r="D410" s="8"/>
      <c r="E410" s="8"/>
      <c r="F410" s="8"/>
      <c r="G410" s="8"/>
      <c r="H410" s="8"/>
      <c r="I410" s="8"/>
      <c r="J410" s="8"/>
      <c r="K410" s="8"/>
      <c r="L410" s="8"/>
      <c r="M410" s="8"/>
      <c r="P410" s="15"/>
    </row>
    <row r="411" spans="1:16" s="9" customFormat="1" ht="29.25" customHeight="1">
      <c r="A411" s="479" t="s">
        <v>175</v>
      </c>
      <c r="B411" s="479"/>
      <c r="C411" s="208">
        <f aca="true" t="shared" si="28" ref="C411:H411">C427</f>
        <v>115041.3</v>
      </c>
      <c r="D411" s="208">
        <f t="shared" si="28"/>
        <v>160700</v>
      </c>
      <c r="E411" s="208">
        <f t="shared" si="28"/>
        <v>0</v>
      </c>
      <c r="F411" s="208">
        <f t="shared" si="28"/>
        <v>0</v>
      </c>
      <c r="G411" s="208">
        <f t="shared" si="28"/>
        <v>0</v>
      </c>
      <c r="H411" s="208" t="e">
        <f t="shared" si="28"/>
        <v>#DIV/0!</v>
      </c>
      <c r="I411" s="8"/>
      <c r="J411" s="8"/>
      <c r="K411" s="8"/>
      <c r="L411" s="8"/>
      <c r="M411" s="8"/>
      <c r="P411" s="15"/>
    </row>
    <row r="412" spans="1:16" s="9" customFormat="1" ht="32.25" customHeight="1">
      <c r="A412" s="9" t="s">
        <v>163</v>
      </c>
      <c r="B412" s="7"/>
      <c r="C412" s="7"/>
      <c r="D412" s="8"/>
      <c r="E412" s="8"/>
      <c r="F412" s="8"/>
      <c r="G412" s="8"/>
      <c r="H412" s="8"/>
      <c r="I412" s="8"/>
      <c r="J412" s="8"/>
      <c r="K412" s="8"/>
      <c r="L412" s="8"/>
      <c r="M412" s="8"/>
      <c r="P412" s="15"/>
    </row>
    <row r="413" spans="1:16" s="9" customFormat="1" ht="15">
      <c r="A413" s="444" t="s">
        <v>53</v>
      </c>
      <c r="B413" s="446" t="s">
        <v>0</v>
      </c>
      <c r="C413" s="446" t="s">
        <v>235</v>
      </c>
      <c r="D413" s="441" t="s">
        <v>132</v>
      </c>
      <c r="E413" s="441" t="s">
        <v>226</v>
      </c>
      <c r="F413" s="441" t="s">
        <v>241</v>
      </c>
      <c r="G413" s="441" t="s">
        <v>50</v>
      </c>
      <c r="H413" s="441" t="s">
        <v>50</v>
      </c>
      <c r="I413" s="8"/>
      <c r="J413" s="8"/>
      <c r="K413" s="8"/>
      <c r="L413" s="8"/>
      <c r="M413" s="8"/>
      <c r="P413" s="15"/>
    </row>
    <row r="414" spans="1:16" s="9" customFormat="1" ht="24.75" customHeight="1">
      <c r="A414" s="445"/>
      <c r="B414" s="447"/>
      <c r="C414" s="447"/>
      <c r="D414" s="442"/>
      <c r="E414" s="442"/>
      <c r="F414" s="442"/>
      <c r="G414" s="442"/>
      <c r="H414" s="442"/>
      <c r="I414" s="8"/>
      <c r="J414" s="8"/>
      <c r="K414" s="8"/>
      <c r="L414" s="8"/>
      <c r="M414" s="8"/>
      <c r="P414" s="15"/>
    </row>
    <row r="415" spans="1:16" s="9" customFormat="1" ht="12" customHeight="1">
      <c r="A415" s="460">
        <v>1</v>
      </c>
      <c r="B415" s="461"/>
      <c r="C415" s="58">
        <v>2</v>
      </c>
      <c r="D415" s="59">
        <v>3</v>
      </c>
      <c r="E415" s="59">
        <v>4</v>
      </c>
      <c r="F415" s="59">
        <v>5</v>
      </c>
      <c r="G415" s="59" t="s">
        <v>51</v>
      </c>
      <c r="H415" s="59" t="s">
        <v>52</v>
      </c>
      <c r="I415" s="8"/>
      <c r="J415" s="8"/>
      <c r="K415" s="8"/>
      <c r="L415" s="8"/>
      <c r="M415" s="8"/>
      <c r="P415" s="15"/>
    </row>
    <row r="416" spans="1:16" s="9" customFormat="1" ht="15">
      <c r="A416" s="153">
        <v>31</v>
      </c>
      <c r="B416" s="125" t="s">
        <v>4</v>
      </c>
      <c r="C416" s="149">
        <f>SUM(C417,C419,C421)</f>
        <v>111899</v>
      </c>
      <c r="D416" s="149">
        <f>SUM(D417,D419,D421)</f>
        <v>148300</v>
      </c>
      <c r="E416" s="149">
        <f>SUM(E417,E419,E421)</f>
        <v>0</v>
      </c>
      <c r="F416" s="149">
        <f>SUM(F417,F419,F421)</f>
        <v>0</v>
      </c>
      <c r="G416" s="108">
        <f>F416/C416*100</f>
        <v>0</v>
      </c>
      <c r="H416" s="108" t="e">
        <f aca="true" t="shared" si="29" ref="H416:H426">F416/E416*100</f>
        <v>#DIV/0!</v>
      </c>
      <c r="I416" s="8"/>
      <c r="J416" s="8"/>
      <c r="K416" s="8"/>
      <c r="L416" s="8"/>
      <c r="M416" s="8"/>
      <c r="P416" s="15"/>
    </row>
    <row r="417" spans="1:16" s="296" customFormat="1" ht="15">
      <c r="A417" s="140">
        <v>311</v>
      </c>
      <c r="B417" s="116" t="s">
        <v>114</v>
      </c>
      <c r="C417" s="151">
        <f>SUM(C418)</f>
        <v>80600</v>
      </c>
      <c r="D417" s="151">
        <f>SUM(D418)</f>
        <v>117000</v>
      </c>
      <c r="E417" s="151">
        <f>SUM(E418)</f>
        <v>0</v>
      </c>
      <c r="F417" s="151">
        <f>SUM(F418)</f>
        <v>0</v>
      </c>
      <c r="G417" s="113">
        <f>F417/C417*100</f>
        <v>0</v>
      </c>
      <c r="H417" s="113" t="e">
        <f t="shared" si="29"/>
        <v>#DIV/0!</v>
      </c>
      <c r="I417" s="47"/>
      <c r="J417" s="47"/>
      <c r="K417" s="47"/>
      <c r="L417" s="47"/>
      <c r="M417" s="47"/>
      <c r="P417" s="297"/>
    </row>
    <row r="418" spans="1:16" s="298" customFormat="1" ht="15">
      <c r="A418" s="16">
        <v>3111</v>
      </c>
      <c r="B418" s="17" t="s">
        <v>54</v>
      </c>
      <c r="C418" s="66">
        <v>80600</v>
      </c>
      <c r="D418" s="99">
        <v>117000</v>
      </c>
      <c r="E418" s="99">
        <v>0</v>
      </c>
      <c r="F418" s="99"/>
      <c r="G418" s="25">
        <f>F418/C418*100</f>
        <v>0</v>
      </c>
      <c r="H418" s="25" t="e">
        <f t="shared" si="29"/>
        <v>#DIV/0!</v>
      </c>
      <c r="I418" s="25"/>
      <c r="J418" s="25"/>
      <c r="K418" s="25"/>
      <c r="L418" s="25"/>
      <c r="M418" s="25"/>
      <c r="P418" s="299"/>
    </row>
    <row r="419" spans="1:16" s="298" customFormat="1" ht="15">
      <c r="A419" s="140">
        <v>312</v>
      </c>
      <c r="B419" s="116" t="s">
        <v>115</v>
      </c>
      <c r="C419" s="151">
        <f>SUM(C420)</f>
        <v>18000</v>
      </c>
      <c r="D419" s="151">
        <f>SUM(D420)</f>
        <v>12000</v>
      </c>
      <c r="E419" s="151">
        <f>SUM(E420)</f>
        <v>0</v>
      </c>
      <c r="F419" s="151">
        <f>SUM(F420)</f>
        <v>0</v>
      </c>
      <c r="G419" s="113">
        <f aca="true" t="shared" si="30" ref="G419:G426">F419/C419*100</f>
        <v>0</v>
      </c>
      <c r="H419" s="113" t="e">
        <f t="shared" si="29"/>
        <v>#DIV/0!</v>
      </c>
      <c r="I419" s="25"/>
      <c r="J419" s="25"/>
      <c r="K419" s="25"/>
      <c r="L419" s="25"/>
      <c r="M419" s="25"/>
      <c r="P419" s="299"/>
    </row>
    <row r="420" spans="1:16" s="298" customFormat="1" ht="15">
      <c r="A420" s="16">
        <v>3121</v>
      </c>
      <c r="B420" s="17" t="s">
        <v>115</v>
      </c>
      <c r="C420" s="66">
        <v>18000</v>
      </c>
      <c r="D420" s="66">
        <v>12000</v>
      </c>
      <c r="E420" s="66">
        <v>0</v>
      </c>
      <c r="F420" s="18"/>
      <c r="G420" s="25">
        <f t="shared" si="30"/>
        <v>0</v>
      </c>
      <c r="H420" s="25" t="e">
        <f t="shared" si="29"/>
        <v>#DIV/0!</v>
      </c>
      <c r="I420" s="25"/>
      <c r="J420" s="25"/>
      <c r="K420" s="25"/>
      <c r="L420" s="25"/>
      <c r="M420" s="25"/>
      <c r="P420" s="299"/>
    </row>
    <row r="421" spans="1:16" s="298" customFormat="1" ht="18.75" customHeight="1">
      <c r="A421" s="140">
        <v>313</v>
      </c>
      <c r="B421" s="116" t="s">
        <v>7</v>
      </c>
      <c r="C421" s="151">
        <f>SUM(C422:C422)</f>
        <v>13299</v>
      </c>
      <c r="D421" s="151">
        <f>SUM(D422:D422)</f>
        <v>19300</v>
      </c>
      <c r="E421" s="151">
        <f>SUM(E422:E422)</f>
        <v>0</v>
      </c>
      <c r="F421" s="151">
        <f>SUM(F422:F422)</f>
        <v>0</v>
      </c>
      <c r="G421" s="113">
        <f t="shared" si="30"/>
        <v>0</v>
      </c>
      <c r="H421" s="113" t="e">
        <f t="shared" si="29"/>
        <v>#DIV/0!</v>
      </c>
      <c r="I421" s="25"/>
      <c r="J421" s="25"/>
      <c r="K421" s="25"/>
      <c r="L421" s="25"/>
      <c r="M421" s="25"/>
      <c r="P421" s="299"/>
    </row>
    <row r="422" spans="1:16" s="298" customFormat="1" ht="15">
      <c r="A422" s="16">
        <v>3132</v>
      </c>
      <c r="B422" s="17" t="s">
        <v>55</v>
      </c>
      <c r="C422" s="66">
        <v>13299</v>
      </c>
      <c r="D422" s="66">
        <v>19300</v>
      </c>
      <c r="E422" s="66">
        <v>0</v>
      </c>
      <c r="F422" s="18"/>
      <c r="G422" s="18">
        <f t="shared" si="30"/>
        <v>0</v>
      </c>
      <c r="H422" s="199" t="e">
        <f t="shared" si="29"/>
        <v>#DIV/0!</v>
      </c>
      <c r="I422" s="25"/>
      <c r="J422" s="25"/>
      <c r="K422" s="25"/>
      <c r="L422" s="25"/>
      <c r="M422" s="25"/>
      <c r="P422" s="299"/>
    </row>
    <row r="423" spans="1:16" s="298" customFormat="1" ht="15">
      <c r="A423" s="139">
        <v>32</v>
      </c>
      <c r="B423" s="127" t="s">
        <v>8</v>
      </c>
      <c r="C423" s="150">
        <f>SUM(C424,)</f>
        <v>3142.3</v>
      </c>
      <c r="D423" s="150">
        <f>SUM(D424,)</f>
        <v>12400</v>
      </c>
      <c r="E423" s="150">
        <f>SUM(E424,)</f>
        <v>0</v>
      </c>
      <c r="F423" s="150">
        <f>SUM(F424,)</f>
        <v>0</v>
      </c>
      <c r="G423" s="109">
        <f t="shared" si="30"/>
        <v>0</v>
      </c>
      <c r="H423" s="109" t="e">
        <f t="shared" si="29"/>
        <v>#DIV/0!</v>
      </c>
      <c r="I423" s="25"/>
      <c r="J423" s="25"/>
      <c r="K423" s="25"/>
      <c r="L423" s="25"/>
      <c r="M423" s="25"/>
      <c r="P423" s="299"/>
    </row>
    <row r="424" spans="1:16" s="298" customFormat="1" ht="15">
      <c r="A424" s="140">
        <v>321</v>
      </c>
      <c r="B424" s="116" t="s">
        <v>9</v>
      </c>
      <c r="C424" s="151">
        <f>SUM(C425:C426)</f>
        <v>3142.3</v>
      </c>
      <c r="D424" s="151">
        <f>SUM(D425:D426)</f>
        <v>12400</v>
      </c>
      <c r="E424" s="151">
        <f>SUM(E425:E426)</f>
        <v>0</v>
      </c>
      <c r="F424" s="151">
        <f>SUM(F425:F426)</f>
        <v>0</v>
      </c>
      <c r="G424" s="113">
        <f t="shared" si="30"/>
        <v>0</v>
      </c>
      <c r="H424" s="113" t="e">
        <f t="shared" si="29"/>
        <v>#DIV/0!</v>
      </c>
      <c r="I424" s="25"/>
      <c r="J424" s="25"/>
      <c r="K424" s="25"/>
      <c r="L424" s="25"/>
      <c r="M424" s="25"/>
      <c r="P424" s="299"/>
    </row>
    <row r="425" spans="1:16" s="298" customFormat="1" ht="32.25" customHeight="1">
      <c r="A425" s="16">
        <v>3211</v>
      </c>
      <c r="B425" s="17" t="s">
        <v>58</v>
      </c>
      <c r="C425" s="66">
        <v>0</v>
      </c>
      <c r="D425" s="18">
        <v>1000</v>
      </c>
      <c r="E425" s="18">
        <v>0</v>
      </c>
      <c r="F425" s="18">
        <v>0</v>
      </c>
      <c r="G425" s="25" t="e">
        <f t="shared" si="30"/>
        <v>#DIV/0!</v>
      </c>
      <c r="H425" s="186">
        <v>0</v>
      </c>
      <c r="I425" s="25"/>
      <c r="J425" s="25"/>
      <c r="K425" s="25"/>
      <c r="L425" s="25"/>
      <c r="M425" s="25"/>
      <c r="P425" s="299"/>
    </row>
    <row r="426" spans="1:16" s="298" customFormat="1" ht="30">
      <c r="A426" s="16">
        <v>3212</v>
      </c>
      <c r="B426" s="17" t="s">
        <v>10</v>
      </c>
      <c r="C426" s="66">
        <v>3142.3</v>
      </c>
      <c r="D426" s="18">
        <v>11400</v>
      </c>
      <c r="E426" s="18">
        <v>0</v>
      </c>
      <c r="F426" s="18"/>
      <c r="G426" s="242">
        <f t="shared" si="30"/>
        <v>0</v>
      </c>
      <c r="H426" s="242" t="e">
        <f t="shared" si="29"/>
        <v>#DIV/0!</v>
      </c>
      <c r="I426" s="25"/>
      <c r="J426" s="25"/>
      <c r="K426" s="25"/>
      <c r="L426" s="25"/>
      <c r="M426" s="25"/>
      <c r="P426" s="299"/>
    </row>
    <row r="427" spans="1:16" s="301" customFormat="1" ht="15">
      <c r="A427" s="464" t="s">
        <v>3</v>
      </c>
      <c r="B427" s="465"/>
      <c r="C427" s="152">
        <f>SUM(C416,C423,)</f>
        <v>115041.3</v>
      </c>
      <c r="D427" s="152">
        <f>SUM(D416,D423,)</f>
        <v>160700</v>
      </c>
      <c r="E427" s="152">
        <f>SUM(E416,E423,)</f>
        <v>0</v>
      </c>
      <c r="F427" s="152">
        <f>SUM(F416,F423,)</f>
        <v>0</v>
      </c>
      <c r="G427" s="136">
        <f>F427/C427*100</f>
        <v>0</v>
      </c>
      <c r="H427" s="137" t="e">
        <f>F427/E427*100</f>
        <v>#DIV/0!</v>
      </c>
      <c r="I427" s="300"/>
      <c r="J427" s="300"/>
      <c r="K427" s="300"/>
      <c r="L427" s="300"/>
      <c r="M427" s="300"/>
      <c r="P427" s="302"/>
    </row>
    <row r="428" spans="2:16" s="9" customFormat="1" ht="15">
      <c r="B428" s="7"/>
      <c r="C428" s="7"/>
      <c r="D428" s="8"/>
      <c r="E428" s="8"/>
      <c r="F428" s="8"/>
      <c r="G428" s="8"/>
      <c r="H428" s="8"/>
      <c r="I428" s="8"/>
      <c r="J428" s="8"/>
      <c r="K428" s="8"/>
      <c r="L428" s="8"/>
      <c r="M428" s="8"/>
      <c r="P428" s="15"/>
    </row>
    <row r="429" spans="2:16" s="9" customFormat="1" ht="15">
      <c r="B429" s="7"/>
      <c r="C429" s="7"/>
      <c r="D429" s="8"/>
      <c r="E429" s="8"/>
      <c r="F429" s="8"/>
      <c r="G429" s="8"/>
      <c r="H429" s="8"/>
      <c r="I429" s="8"/>
      <c r="J429" s="8"/>
      <c r="K429" s="8"/>
      <c r="L429" s="8"/>
      <c r="M429" s="8"/>
      <c r="P429" s="15"/>
    </row>
    <row r="430" spans="1:16" s="9" customFormat="1" ht="26.25" customHeight="1">
      <c r="A430" s="459" t="s">
        <v>176</v>
      </c>
      <c r="B430" s="459"/>
      <c r="C430" s="208">
        <f aca="true" t="shared" si="31" ref="C430:H430">C446</f>
        <v>140439</v>
      </c>
      <c r="D430" s="208">
        <f t="shared" si="31"/>
        <v>0</v>
      </c>
      <c r="E430" s="208">
        <f t="shared" si="31"/>
        <v>391590</v>
      </c>
      <c r="F430" s="208">
        <f t="shared" si="31"/>
        <v>219964.88</v>
      </c>
      <c r="G430" s="208">
        <f t="shared" si="31"/>
        <v>156.62663505151704</v>
      </c>
      <c r="H430" s="208">
        <f t="shared" si="31"/>
        <v>56.17224137490743</v>
      </c>
      <c r="I430" s="8"/>
      <c r="J430" s="8"/>
      <c r="K430" s="8"/>
      <c r="L430" s="8"/>
      <c r="M430" s="8"/>
      <c r="P430" s="15"/>
    </row>
    <row r="431" spans="1:16" s="9" customFormat="1" ht="25.5" customHeight="1">
      <c r="A431" s="9" t="s">
        <v>163</v>
      </c>
      <c r="B431" s="7"/>
      <c r="C431" s="7"/>
      <c r="D431" s="8"/>
      <c r="E431" s="8"/>
      <c r="F431" s="8"/>
      <c r="G431" s="8"/>
      <c r="H431" s="8"/>
      <c r="I431" s="8"/>
      <c r="J431" s="8"/>
      <c r="K431" s="8"/>
      <c r="L431" s="8"/>
      <c r="M431" s="8"/>
      <c r="P431" s="15"/>
    </row>
    <row r="432" spans="1:15" ht="15">
      <c r="A432" s="444" t="s">
        <v>53</v>
      </c>
      <c r="B432" s="446" t="s">
        <v>0</v>
      </c>
      <c r="C432" s="446" t="s">
        <v>235</v>
      </c>
      <c r="D432" s="441" t="s">
        <v>132</v>
      </c>
      <c r="E432" s="441" t="s">
        <v>226</v>
      </c>
      <c r="F432" s="441" t="s">
        <v>241</v>
      </c>
      <c r="G432" s="441" t="s">
        <v>50</v>
      </c>
      <c r="H432" s="441" t="s">
        <v>50</v>
      </c>
      <c r="I432" s="13"/>
      <c r="J432" s="13"/>
      <c r="K432" s="13"/>
      <c r="L432" s="13"/>
      <c r="M432" s="13"/>
      <c r="N432" s="26"/>
      <c r="O432" s="26"/>
    </row>
    <row r="433" spans="1:16" s="9" customFormat="1" ht="27.75" customHeight="1">
      <c r="A433" s="445"/>
      <c r="B433" s="447"/>
      <c r="C433" s="447"/>
      <c r="D433" s="442"/>
      <c r="E433" s="442"/>
      <c r="F433" s="442"/>
      <c r="G433" s="442"/>
      <c r="H433" s="442"/>
      <c r="I433" s="8"/>
      <c r="J433" s="8"/>
      <c r="K433" s="8"/>
      <c r="L433" s="8"/>
      <c r="M433" s="8"/>
      <c r="P433" s="15"/>
    </row>
    <row r="434" spans="1:16" s="9" customFormat="1" ht="11.25" customHeight="1">
      <c r="A434" s="460">
        <v>1</v>
      </c>
      <c r="B434" s="461"/>
      <c r="C434" s="58">
        <v>2</v>
      </c>
      <c r="D434" s="59">
        <v>3</v>
      </c>
      <c r="E434" s="59">
        <v>4</v>
      </c>
      <c r="F434" s="59">
        <v>5</v>
      </c>
      <c r="G434" s="59" t="s">
        <v>51</v>
      </c>
      <c r="H434" s="59" t="s">
        <v>52</v>
      </c>
      <c r="I434" s="8"/>
      <c r="J434" s="8"/>
      <c r="K434" s="8"/>
      <c r="L434" s="8"/>
      <c r="M434" s="8"/>
      <c r="P434" s="15"/>
    </row>
    <row r="435" spans="1:16" s="9" customFormat="1" ht="15">
      <c r="A435" s="153">
        <v>31</v>
      </c>
      <c r="B435" s="125" t="s">
        <v>4</v>
      </c>
      <c r="C435" s="149">
        <f>SUM(C436,C438,C440)</f>
        <v>132330</v>
      </c>
      <c r="D435" s="149">
        <f>SUM(D436,D438,D440)</f>
        <v>0</v>
      </c>
      <c r="E435" s="149">
        <f>SUM(E436,E438,E440)</f>
        <v>357190</v>
      </c>
      <c r="F435" s="149">
        <f>SUM(F436,F438,F440)</f>
        <v>206322.88</v>
      </c>
      <c r="G435" s="108">
        <f>F435/C435*100</f>
        <v>155.91542356230636</v>
      </c>
      <c r="H435" s="108">
        <f aca="true" t="shared" si="32" ref="H435:H445">F435/E435*100</f>
        <v>57.76278171281392</v>
      </c>
      <c r="I435" s="8"/>
      <c r="J435" s="8"/>
      <c r="K435" s="8"/>
      <c r="L435" s="8"/>
      <c r="M435" s="8"/>
      <c r="P435" s="15"/>
    </row>
    <row r="436" spans="1:16" s="296" customFormat="1" ht="15">
      <c r="A436" s="140">
        <v>311</v>
      </c>
      <c r="B436" s="116" t="s">
        <v>114</v>
      </c>
      <c r="C436" s="151">
        <f>SUM(C437)</f>
        <v>113588</v>
      </c>
      <c r="D436" s="151">
        <f>SUM(D437)</f>
        <v>0</v>
      </c>
      <c r="E436" s="151">
        <f>SUM(E437)</f>
        <v>286000</v>
      </c>
      <c r="F436" s="151">
        <f>SUM(F437)</f>
        <v>166800.75</v>
      </c>
      <c r="G436" s="113">
        <f>F436/C436*100</f>
        <v>146.84715815050885</v>
      </c>
      <c r="H436" s="113">
        <f t="shared" si="32"/>
        <v>58.321940559440556</v>
      </c>
      <c r="I436" s="47"/>
      <c r="J436" s="47"/>
      <c r="K436" s="47"/>
      <c r="L436" s="47"/>
      <c r="M436" s="47"/>
      <c r="P436" s="297"/>
    </row>
    <row r="437" spans="1:16" s="298" customFormat="1" ht="15">
      <c r="A437" s="16">
        <v>3111</v>
      </c>
      <c r="B437" s="17" t="s">
        <v>54</v>
      </c>
      <c r="C437" s="66">
        <v>113588</v>
      </c>
      <c r="D437" s="99">
        <v>0</v>
      </c>
      <c r="E437" s="96">
        <v>286000</v>
      </c>
      <c r="F437" s="99">
        <v>166800.75</v>
      </c>
      <c r="G437" s="25">
        <f>F437/C437*100</f>
        <v>146.84715815050885</v>
      </c>
      <c r="H437" s="25">
        <f t="shared" si="32"/>
        <v>58.321940559440556</v>
      </c>
      <c r="I437" s="25"/>
      <c r="J437" s="25"/>
      <c r="K437" s="25"/>
      <c r="L437" s="25"/>
      <c r="M437" s="25"/>
      <c r="P437" s="299"/>
    </row>
    <row r="438" spans="1:16" s="298" customFormat="1" ht="32.25" customHeight="1">
      <c r="A438" s="140">
        <v>312</v>
      </c>
      <c r="B438" s="116" t="s">
        <v>115</v>
      </c>
      <c r="C438" s="151">
        <f>SUM(C439)</f>
        <v>0</v>
      </c>
      <c r="D438" s="151">
        <f>SUM(D439)</f>
        <v>0</v>
      </c>
      <c r="E438" s="151">
        <f>SUM(E439)</f>
        <v>24000</v>
      </c>
      <c r="F438" s="151">
        <f>SUM(F439)</f>
        <v>12000</v>
      </c>
      <c r="G438" s="113" t="e">
        <f aca="true" t="shared" si="33" ref="G438:G445">F438/C438*100</f>
        <v>#DIV/0!</v>
      </c>
      <c r="H438" s="113">
        <f t="shared" si="32"/>
        <v>50</v>
      </c>
      <c r="I438" s="25"/>
      <c r="J438" s="25"/>
      <c r="K438" s="25"/>
      <c r="L438" s="25"/>
      <c r="M438" s="25"/>
      <c r="P438" s="299"/>
    </row>
    <row r="439" spans="1:16" s="298" customFormat="1" ht="15">
      <c r="A439" s="196">
        <v>3121</v>
      </c>
      <c r="B439" s="197" t="s">
        <v>115</v>
      </c>
      <c r="C439" s="198">
        <v>0</v>
      </c>
      <c r="D439" s="198">
        <v>0</v>
      </c>
      <c r="E439" s="198">
        <v>24000</v>
      </c>
      <c r="F439" s="199">
        <v>12000</v>
      </c>
      <c r="G439" s="199" t="e">
        <f t="shared" si="33"/>
        <v>#DIV/0!</v>
      </c>
      <c r="H439" s="199">
        <f t="shared" si="32"/>
        <v>50</v>
      </c>
      <c r="I439" s="25"/>
      <c r="J439" s="25"/>
      <c r="K439" s="25"/>
      <c r="L439" s="25"/>
      <c r="M439" s="25"/>
      <c r="P439" s="299"/>
    </row>
    <row r="440" spans="1:16" s="303" customFormat="1" ht="19.5" customHeight="1">
      <c r="A440" s="140">
        <v>313</v>
      </c>
      <c r="B440" s="116" t="s">
        <v>7</v>
      </c>
      <c r="C440" s="151">
        <f>SUM(C441:C441)</f>
        <v>18742</v>
      </c>
      <c r="D440" s="151">
        <f>SUM(D441:D441)</f>
        <v>0</v>
      </c>
      <c r="E440" s="151">
        <f>SUM(E441:E441)</f>
        <v>47190</v>
      </c>
      <c r="F440" s="151">
        <f>SUM(F441:F441)</f>
        <v>27522.13</v>
      </c>
      <c r="G440" s="113">
        <f t="shared" si="33"/>
        <v>146.84734820189948</v>
      </c>
      <c r="H440" s="113">
        <f t="shared" si="32"/>
        <v>58.32195380377199</v>
      </c>
      <c r="I440" s="199"/>
      <c r="J440" s="199"/>
      <c r="K440" s="199"/>
      <c r="L440" s="199"/>
      <c r="M440" s="199"/>
      <c r="P440" s="304"/>
    </row>
    <row r="441" spans="1:16" s="298" customFormat="1" ht="15">
      <c r="A441" s="196">
        <v>3132</v>
      </c>
      <c r="B441" s="197" t="s">
        <v>55</v>
      </c>
      <c r="C441" s="198">
        <v>18742</v>
      </c>
      <c r="D441" s="198">
        <v>0</v>
      </c>
      <c r="E441" s="198">
        <v>47190</v>
      </c>
      <c r="F441" s="199">
        <v>27522.13</v>
      </c>
      <c r="G441" s="199">
        <f t="shared" si="33"/>
        <v>146.84734820189948</v>
      </c>
      <c r="H441" s="199">
        <f t="shared" si="32"/>
        <v>58.32195380377199</v>
      </c>
      <c r="I441" s="25"/>
      <c r="J441" s="25"/>
      <c r="K441" s="25"/>
      <c r="L441" s="25"/>
      <c r="M441" s="25"/>
      <c r="P441" s="299"/>
    </row>
    <row r="442" spans="1:16" s="303" customFormat="1" ht="15">
      <c r="A442" s="139">
        <v>32</v>
      </c>
      <c r="B442" s="127" t="s">
        <v>8</v>
      </c>
      <c r="C442" s="150">
        <f>SUM(C443,)</f>
        <v>8109</v>
      </c>
      <c r="D442" s="150">
        <f>SUM(D443,)</f>
        <v>0</v>
      </c>
      <c r="E442" s="150">
        <f>SUM(E443,)</f>
        <v>34400</v>
      </c>
      <c r="F442" s="150">
        <f>SUM(F443,)</f>
        <v>13642</v>
      </c>
      <c r="G442" s="109">
        <f t="shared" si="33"/>
        <v>168.23282772228387</v>
      </c>
      <c r="H442" s="109">
        <f t="shared" si="32"/>
        <v>39.656976744186046</v>
      </c>
      <c r="I442" s="199"/>
      <c r="J442" s="199"/>
      <c r="K442" s="199"/>
      <c r="L442" s="199"/>
      <c r="M442" s="199"/>
      <c r="P442" s="304"/>
    </row>
    <row r="443" spans="1:16" s="298" customFormat="1" ht="15">
      <c r="A443" s="140">
        <v>321</v>
      </c>
      <c r="B443" s="116" t="s">
        <v>9</v>
      </c>
      <c r="C443" s="151">
        <f>SUM(C444:C445)</f>
        <v>8109</v>
      </c>
      <c r="D443" s="151">
        <f>SUM(D444:D445)</f>
        <v>0</v>
      </c>
      <c r="E443" s="151">
        <f>SUM(E444:E445)</f>
        <v>34400</v>
      </c>
      <c r="F443" s="151">
        <f>SUM(F444:F445)</f>
        <v>13642</v>
      </c>
      <c r="G443" s="113">
        <f t="shared" si="33"/>
        <v>168.23282772228387</v>
      </c>
      <c r="H443" s="113">
        <f t="shared" si="32"/>
        <v>39.656976744186046</v>
      </c>
      <c r="I443" s="25"/>
      <c r="J443" s="25"/>
      <c r="K443" s="25"/>
      <c r="L443" s="25"/>
      <c r="M443" s="25"/>
      <c r="P443" s="299"/>
    </row>
    <row r="444" spans="1:16" s="298" customFormat="1" ht="15">
      <c r="A444" s="16">
        <v>3211</v>
      </c>
      <c r="B444" s="17" t="s">
        <v>58</v>
      </c>
      <c r="C444" s="66">
        <v>0</v>
      </c>
      <c r="D444" s="18">
        <v>0</v>
      </c>
      <c r="E444" s="18">
        <v>4000</v>
      </c>
      <c r="F444" s="18">
        <v>1600</v>
      </c>
      <c r="G444" s="25" t="e">
        <f t="shared" si="33"/>
        <v>#DIV/0!</v>
      </c>
      <c r="H444" s="186">
        <f t="shared" si="32"/>
        <v>40</v>
      </c>
      <c r="I444" s="25"/>
      <c r="J444" s="25"/>
      <c r="K444" s="25"/>
      <c r="L444" s="25"/>
      <c r="M444" s="25"/>
      <c r="P444" s="299"/>
    </row>
    <row r="445" spans="1:16" s="298" customFormat="1" ht="30">
      <c r="A445" s="16">
        <v>3212</v>
      </c>
      <c r="B445" s="17" t="s">
        <v>10</v>
      </c>
      <c r="C445" s="66">
        <v>8109</v>
      </c>
      <c r="D445" s="18">
        <v>0</v>
      </c>
      <c r="E445" s="18">
        <v>30400</v>
      </c>
      <c r="F445" s="18">
        <v>12042</v>
      </c>
      <c r="G445" s="242">
        <f t="shared" si="33"/>
        <v>148.50166481687015</v>
      </c>
      <c r="H445" s="242">
        <f t="shared" si="32"/>
        <v>39.61184210526316</v>
      </c>
      <c r="I445" s="25"/>
      <c r="J445" s="25"/>
      <c r="K445" s="25"/>
      <c r="L445" s="25"/>
      <c r="M445" s="25"/>
      <c r="P445" s="299"/>
    </row>
    <row r="446" spans="1:13" s="305" customFormat="1" ht="15">
      <c r="A446" s="464" t="s">
        <v>3</v>
      </c>
      <c r="B446" s="465"/>
      <c r="C446" s="152">
        <f>SUM(C435,C442,)</f>
        <v>140439</v>
      </c>
      <c r="D446" s="152">
        <f>SUM(D435,D442,)</f>
        <v>0</v>
      </c>
      <c r="E446" s="152">
        <f>SUM(E435,E442,)</f>
        <v>391590</v>
      </c>
      <c r="F446" s="152">
        <f>SUM(F435,F442,)</f>
        <v>219964.88</v>
      </c>
      <c r="G446" s="136">
        <f>F446/C446*100</f>
        <v>156.62663505151704</v>
      </c>
      <c r="H446" s="137">
        <f>F446/E446*100</f>
        <v>56.17224137490743</v>
      </c>
      <c r="I446" s="49"/>
      <c r="J446" s="49"/>
      <c r="K446" s="49"/>
      <c r="L446" s="49"/>
      <c r="M446" s="49"/>
    </row>
    <row r="447" spans="1:13" s="370" customFormat="1" ht="15">
      <c r="A447" s="174"/>
      <c r="B447" s="174"/>
      <c r="C447" s="369"/>
      <c r="D447" s="369"/>
      <c r="E447" s="369"/>
      <c r="F447" s="369"/>
      <c r="G447" s="13"/>
      <c r="H447" s="13"/>
      <c r="I447" s="20"/>
      <c r="J447" s="20"/>
      <c r="K447" s="20"/>
      <c r="L447" s="20"/>
      <c r="M447" s="20"/>
    </row>
    <row r="448" spans="1:13" s="69" customFormat="1" ht="15" customHeight="1">
      <c r="A448" s="9"/>
      <c r="B448" s="7"/>
      <c r="C448" s="7"/>
      <c r="D448" s="8"/>
      <c r="E448" s="8"/>
      <c r="F448" s="8"/>
      <c r="G448" s="8"/>
      <c r="H448" s="8"/>
      <c r="I448" s="19"/>
      <c r="J448" s="19"/>
      <c r="K448" s="19"/>
      <c r="L448" s="19"/>
      <c r="M448" s="19"/>
    </row>
    <row r="449" spans="1:13" s="69" customFormat="1" ht="24" customHeight="1">
      <c r="A449" s="459" t="s">
        <v>253</v>
      </c>
      <c r="B449" s="459"/>
      <c r="C449" s="208">
        <f aca="true" t="shared" si="34" ref="C449:H449">C465</f>
        <v>0</v>
      </c>
      <c r="D449" s="208">
        <f t="shared" si="34"/>
        <v>0</v>
      </c>
      <c r="E449" s="208">
        <f t="shared" si="34"/>
        <v>0</v>
      </c>
      <c r="F449" s="208">
        <f t="shared" si="34"/>
        <v>93263.7</v>
      </c>
      <c r="G449" s="208" t="e">
        <f t="shared" si="34"/>
        <v>#DIV/0!</v>
      </c>
      <c r="H449" s="208" t="e">
        <f t="shared" si="34"/>
        <v>#DIV/0!</v>
      </c>
      <c r="I449" s="19"/>
      <c r="J449" s="19"/>
      <c r="K449" s="19"/>
      <c r="L449" s="19"/>
      <c r="M449" s="19"/>
    </row>
    <row r="450" spans="1:16" s="9" customFormat="1" ht="28.5" customHeight="1">
      <c r="A450" s="9" t="s">
        <v>163</v>
      </c>
      <c r="B450" s="7"/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8"/>
      <c r="P450" s="15"/>
    </row>
    <row r="451" spans="1:15" ht="15">
      <c r="A451" s="444" t="s">
        <v>53</v>
      </c>
      <c r="B451" s="446" t="s">
        <v>0</v>
      </c>
      <c r="C451" s="446" t="s">
        <v>235</v>
      </c>
      <c r="D451" s="441" t="s">
        <v>132</v>
      </c>
      <c r="E451" s="441" t="s">
        <v>226</v>
      </c>
      <c r="F451" s="441" t="s">
        <v>241</v>
      </c>
      <c r="G451" s="441" t="s">
        <v>50</v>
      </c>
      <c r="H451" s="441" t="s">
        <v>50</v>
      </c>
      <c r="I451" s="13"/>
      <c r="J451" s="13"/>
      <c r="K451" s="13"/>
      <c r="L451" s="13"/>
      <c r="M451" s="13"/>
      <c r="N451" s="26"/>
      <c r="O451" s="26"/>
    </row>
    <row r="452" spans="1:16" s="9" customFormat="1" ht="26.25" customHeight="1">
      <c r="A452" s="445"/>
      <c r="B452" s="447"/>
      <c r="C452" s="447"/>
      <c r="D452" s="442"/>
      <c r="E452" s="442"/>
      <c r="F452" s="442"/>
      <c r="G452" s="442"/>
      <c r="H452" s="442"/>
      <c r="I452" s="8"/>
      <c r="J452" s="8"/>
      <c r="K452" s="8"/>
      <c r="L452" s="8"/>
      <c r="M452" s="8"/>
      <c r="P452" s="15"/>
    </row>
    <row r="453" spans="1:16" s="9" customFormat="1" ht="14.25" customHeight="1">
      <c r="A453" s="460">
        <v>1</v>
      </c>
      <c r="B453" s="461"/>
      <c r="C453" s="58">
        <v>2</v>
      </c>
      <c r="D453" s="59">
        <v>3</v>
      </c>
      <c r="E453" s="59">
        <v>4</v>
      </c>
      <c r="F453" s="59">
        <v>5</v>
      </c>
      <c r="G453" s="59" t="s">
        <v>51</v>
      </c>
      <c r="H453" s="59" t="s">
        <v>52</v>
      </c>
      <c r="I453" s="8"/>
      <c r="J453" s="8"/>
      <c r="K453" s="8"/>
      <c r="L453" s="8"/>
      <c r="M453" s="8"/>
      <c r="P453" s="15"/>
    </row>
    <row r="454" spans="1:16" s="9" customFormat="1" ht="15">
      <c r="A454" s="153">
        <v>31</v>
      </c>
      <c r="B454" s="125" t="s">
        <v>4</v>
      </c>
      <c r="C454" s="149">
        <f>SUM(C455,C457,C459)</f>
        <v>0</v>
      </c>
      <c r="D454" s="149">
        <f>SUM(D455,D457,D459)</f>
        <v>0</v>
      </c>
      <c r="E454" s="149">
        <f>SUM(E455,E457,E459)</f>
        <v>0</v>
      </c>
      <c r="F454" s="149">
        <f>SUM(F455,F457,F459)</f>
        <v>88333.7</v>
      </c>
      <c r="G454" s="108" t="e">
        <f>F454/C454*100</f>
        <v>#DIV/0!</v>
      </c>
      <c r="H454" s="108" t="e">
        <f aca="true" t="shared" si="35" ref="H454:H464">F454/E454*100</f>
        <v>#DIV/0!</v>
      </c>
      <c r="I454" s="8"/>
      <c r="J454" s="8"/>
      <c r="K454" s="8"/>
      <c r="L454" s="8"/>
      <c r="M454" s="8"/>
      <c r="P454" s="15"/>
    </row>
    <row r="455" spans="1:16" s="296" customFormat="1" ht="15">
      <c r="A455" s="140">
        <v>311</v>
      </c>
      <c r="B455" s="116" t="s">
        <v>114</v>
      </c>
      <c r="C455" s="151">
        <f>SUM(C456)</f>
        <v>0</v>
      </c>
      <c r="D455" s="151">
        <f>SUM(D456)</f>
        <v>0</v>
      </c>
      <c r="E455" s="151">
        <f>SUM(E456)</f>
        <v>0</v>
      </c>
      <c r="F455" s="151">
        <f>SUM(F456)</f>
        <v>62462.18</v>
      </c>
      <c r="G455" s="113" t="e">
        <f>F455/C455*100</f>
        <v>#DIV/0!</v>
      </c>
      <c r="H455" s="113" t="e">
        <f t="shared" si="35"/>
        <v>#DIV/0!</v>
      </c>
      <c r="I455" s="47"/>
      <c r="J455" s="47"/>
      <c r="K455" s="47"/>
      <c r="L455" s="47"/>
      <c r="M455" s="47"/>
      <c r="P455" s="297"/>
    </row>
    <row r="456" spans="1:16" s="298" customFormat="1" ht="15">
      <c r="A456" s="16">
        <v>3111</v>
      </c>
      <c r="B456" s="17" t="s">
        <v>54</v>
      </c>
      <c r="C456" s="66">
        <v>0</v>
      </c>
      <c r="D456" s="99">
        <v>0</v>
      </c>
      <c r="E456" s="96">
        <v>0</v>
      </c>
      <c r="F456" s="99">
        <v>62462.18</v>
      </c>
      <c r="G456" s="25" t="e">
        <f>F456/C456*100</f>
        <v>#DIV/0!</v>
      </c>
      <c r="H456" s="25" t="e">
        <f t="shared" si="35"/>
        <v>#DIV/0!</v>
      </c>
      <c r="I456" s="25"/>
      <c r="J456" s="25"/>
      <c r="K456" s="25"/>
      <c r="L456" s="25"/>
      <c r="M456" s="25"/>
      <c r="P456" s="299"/>
    </row>
    <row r="457" spans="1:16" s="298" customFormat="1" ht="32.25" customHeight="1">
      <c r="A457" s="140">
        <v>312</v>
      </c>
      <c r="B457" s="116" t="s">
        <v>115</v>
      </c>
      <c r="C457" s="151">
        <f>SUM(C458)</f>
        <v>0</v>
      </c>
      <c r="D457" s="151">
        <f>SUM(D458)</f>
        <v>0</v>
      </c>
      <c r="E457" s="151">
        <f>SUM(E458)</f>
        <v>0</v>
      </c>
      <c r="F457" s="151">
        <f>SUM(F458)</f>
        <v>8750</v>
      </c>
      <c r="G457" s="113" t="e">
        <f aca="true" t="shared" si="36" ref="G457:G464">F457/C457*100</f>
        <v>#DIV/0!</v>
      </c>
      <c r="H457" s="113" t="e">
        <f t="shared" si="35"/>
        <v>#DIV/0!</v>
      </c>
      <c r="I457" s="25"/>
      <c r="J457" s="25"/>
      <c r="K457" s="25"/>
      <c r="L457" s="25"/>
      <c r="M457" s="25"/>
      <c r="P457" s="299"/>
    </row>
    <row r="458" spans="1:16" s="298" customFormat="1" ht="15">
      <c r="A458" s="196">
        <v>3121</v>
      </c>
      <c r="B458" s="197" t="s">
        <v>115</v>
      </c>
      <c r="C458" s="198">
        <v>0</v>
      </c>
      <c r="D458" s="198">
        <v>0</v>
      </c>
      <c r="E458" s="198">
        <v>0</v>
      </c>
      <c r="F458" s="199">
        <v>8750</v>
      </c>
      <c r="G458" s="199" t="e">
        <f t="shared" si="36"/>
        <v>#DIV/0!</v>
      </c>
      <c r="H458" s="199" t="e">
        <f t="shared" si="35"/>
        <v>#DIV/0!</v>
      </c>
      <c r="I458" s="25"/>
      <c r="J458" s="25"/>
      <c r="K458" s="25"/>
      <c r="L458" s="25"/>
      <c r="M458" s="25"/>
      <c r="P458" s="299"/>
    </row>
    <row r="459" spans="1:16" s="303" customFormat="1" ht="19.5" customHeight="1">
      <c r="A459" s="140">
        <v>313</v>
      </c>
      <c r="B459" s="116" t="s">
        <v>7</v>
      </c>
      <c r="C459" s="151">
        <f>SUM(C460:C460)</f>
        <v>0</v>
      </c>
      <c r="D459" s="151">
        <f>SUM(D460:D460)</f>
        <v>0</v>
      </c>
      <c r="E459" s="151">
        <f>SUM(E460:E460)</f>
        <v>0</v>
      </c>
      <c r="F459" s="151">
        <f>SUM(F460:F460)</f>
        <v>17121.52</v>
      </c>
      <c r="G459" s="113" t="e">
        <f t="shared" si="36"/>
        <v>#DIV/0!</v>
      </c>
      <c r="H459" s="113" t="e">
        <f t="shared" si="35"/>
        <v>#DIV/0!</v>
      </c>
      <c r="I459" s="199"/>
      <c r="J459" s="199"/>
      <c r="K459" s="199"/>
      <c r="L459" s="199"/>
      <c r="M459" s="199"/>
      <c r="P459" s="304"/>
    </row>
    <row r="460" spans="1:16" s="298" customFormat="1" ht="15">
      <c r="A460" s="196">
        <v>3132</v>
      </c>
      <c r="B460" s="197" t="s">
        <v>55</v>
      </c>
      <c r="C460" s="198">
        <v>0</v>
      </c>
      <c r="D460" s="198">
        <v>0</v>
      </c>
      <c r="E460" s="198">
        <v>0</v>
      </c>
      <c r="F460" s="199">
        <v>17121.52</v>
      </c>
      <c r="G460" s="199" t="e">
        <f t="shared" si="36"/>
        <v>#DIV/0!</v>
      </c>
      <c r="H460" s="199" t="e">
        <f t="shared" si="35"/>
        <v>#DIV/0!</v>
      </c>
      <c r="I460" s="25"/>
      <c r="J460" s="25"/>
      <c r="K460" s="25"/>
      <c r="L460" s="25"/>
      <c r="M460" s="25"/>
      <c r="P460" s="299"/>
    </row>
    <row r="461" spans="1:16" s="303" customFormat="1" ht="15">
      <c r="A461" s="139">
        <v>32</v>
      </c>
      <c r="B461" s="127" t="s">
        <v>8</v>
      </c>
      <c r="C461" s="150">
        <f>SUM(C462,)</f>
        <v>0</v>
      </c>
      <c r="D461" s="150">
        <f>SUM(D462,)</f>
        <v>0</v>
      </c>
      <c r="E461" s="150">
        <f>SUM(E462,)</f>
        <v>0</v>
      </c>
      <c r="F461" s="150">
        <f>SUM(F462,)</f>
        <v>4930</v>
      </c>
      <c r="G461" s="109" t="e">
        <f t="shared" si="36"/>
        <v>#DIV/0!</v>
      </c>
      <c r="H461" s="109" t="e">
        <f t="shared" si="35"/>
        <v>#DIV/0!</v>
      </c>
      <c r="I461" s="199"/>
      <c r="J461" s="199"/>
      <c r="K461" s="199"/>
      <c r="L461" s="199"/>
      <c r="M461" s="199"/>
      <c r="P461" s="304"/>
    </row>
    <row r="462" spans="1:16" s="298" customFormat="1" ht="15">
      <c r="A462" s="140">
        <v>321</v>
      </c>
      <c r="B462" s="116" t="s">
        <v>9</v>
      </c>
      <c r="C462" s="151">
        <f>SUM(C463:C464)</f>
        <v>0</v>
      </c>
      <c r="D462" s="151">
        <f>SUM(D463:D464)</f>
        <v>0</v>
      </c>
      <c r="E462" s="151">
        <f>SUM(E463:E464)</f>
        <v>0</v>
      </c>
      <c r="F462" s="151">
        <f>SUM(F463:F464)</f>
        <v>4930</v>
      </c>
      <c r="G462" s="113" t="e">
        <f t="shared" si="36"/>
        <v>#DIV/0!</v>
      </c>
      <c r="H462" s="113" t="e">
        <f t="shared" si="35"/>
        <v>#DIV/0!</v>
      </c>
      <c r="I462" s="25"/>
      <c r="J462" s="25"/>
      <c r="K462" s="25"/>
      <c r="L462" s="25"/>
      <c r="M462" s="25"/>
      <c r="P462" s="299"/>
    </row>
    <row r="463" spans="1:16" s="298" customFormat="1" ht="15">
      <c r="A463" s="16">
        <v>3211</v>
      </c>
      <c r="B463" s="17" t="s">
        <v>58</v>
      </c>
      <c r="C463" s="66">
        <v>0</v>
      </c>
      <c r="D463" s="18">
        <v>0</v>
      </c>
      <c r="E463" s="18">
        <v>0</v>
      </c>
      <c r="F463" s="18">
        <v>400</v>
      </c>
      <c r="G463" s="25" t="e">
        <f t="shared" si="36"/>
        <v>#DIV/0!</v>
      </c>
      <c r="H463" s="186" t="e">
        <f t="shared" si="35"/>
        <v>#DIV/0!</v>
      </c>
      <c r="I463" s="25"/>
      <c r="J463" s="25"/>
      <c r="K463" s="25"/>
      <c r="L463" s="25"/>
      <c r="M463" s="25"/>
      <c r="P463" s="299"/>
    </row>
    <row r="464" spans="1:16" s="298" customFormat="1" ht="30">
      <c r="A464" s="16">
        <v>3212</v>
      </c>
      <c r="B464" s="17" t="s">
        <v>10</v>
      </c>
      <c r="C464" s="66">
        <v>0</v>
      </c>
      <c r="D464" s="18">
        <v>0</v>
      </c>
      <c r="E464" s="18">
        <v>0</v>
      </c>
      <c r="F464" s="18">
        <v>4530</v>
      </c>
      <c r="G464" s="242" t="e">
        <f t="shared" si="36"/>
        <v>#DIV/0!</v>
      </c>
      <c r="H464" s="242" t="e">
        <f t="shared" si="35"/>
        <v>#DIV/0!</v>
      </c>
      <c r="I464" s="25"/>
      <c r="J464" s="25"/>
      <c r="K464" s="25"/>
      <c r="L464" s="25"/>
      <c r="M464" s="25"/>
      <c r="P464" s="299"/>
    </row>
    <row r="465" spans="1:13" s="305" customFormat="1" ht="15">
      <c r="A465" s="464" t="s">
        <v>3</v>
      </c>
      <c r="B465" s="465"/>
      <c r="C465" s="152">
        <f>SUM(C454,C461,)</f>
        <v>0</v>
      </c>
      <c r="D465" s="152">
        <f>SUM(D454,D461,)</f>
        <v>0</v>
      </c>
      <c r="E465" s="152">
        <f>SUM(E454,E461,)</f>
        <v>0</v>
      </c>
      <c r="F465" s="152">
        <f>SUM(F454,F461,)</f>
        <v>93263.7</v>
      </c>
      <c r="G465" s="136" t="e">
        <f>F465/C465*100</f>
        <v>#DIV/0!</v>
      </c>
      <c r="H465" s="137" t="e">
        <f>F465/E465*100</f>
        <v>#DIV/0!</v>
      </c>
      <c r="I465" s="49"/>
      <c r="J465" s="49"/>
      <c r="K465" s="49"/>
      <c r="L465" s="49"/>
      <c r="M465" s="49"/>
    </row>
    <row r="466" spans="1:13" s="69" customFormat="1" ht="15" customHeight="1">
      <c r="A466" s="9"/>
      <c r="B466" s="7"/>
      <c r="C466" s="7"/>
      <c r="D466" s="8"/>
      <c r="E466" s="8"/>
      <c r="F466" s="8"/>
      <c r="G466" s="8"/>
      <c r="H466" s="8"/>
      <c r="I466" s="19"/>
      <c r="J466" s="19"/>
      <c r="K466" s="19"/>
      <c r="L466" s="19"/>
      <c r="M466" s="19"/>
    </row>
    <row r="467" spans="2:16" s="9" customFormat="1" ht="15">
      <c r="B467" s="7"/>
      <c r="C467" s="7"/>
      <c r="D467" s="8"/>
      <c r="E467" s="8"/>
      <c r="F467" s="8"/>
      <c r="G467" s="8"/>
      <c r="H467" s="8"/>
      <c r="I467" s="8"/>
      <c r="J467" s="8"/>
      <c r="K467" s="8"/>
      <c r="L467" s="8"/>
      <c r="M467" s="8"/>
      <c r="P467" s="15"/>
    </row>
    <row r="468" spans="1:16" s="9" customFormat="1" ht="30.75" customHeight="1">
      <c r="A468" s="457" t="s">
        <v>177</v>
      </c>
      <c r="B468" s="457"/>
      <c r="C468" s="365">
        <f>C470+C483</f>
        <v>6300</v>
      </c>
      <c r="D468" s="365">
        <f>D470</f>
        <v>6300</v>
      </c>
      <c r="E468" s="365">
        <f>E470</f>
        <v>6300</v>
      </c>
      <c r="F468" s="365">
        <f>F470+F483</f>
        <v>84529.2</v>
      </c>
      <c r="G468" s="365">
        <f>G470</f>
        <v>100</v>
      </c>
      <c r="H468" s="365">
        <f>H470</f>
        <v>100</v>
      </c>
      <c r="I468" s="8"/>
      <c r="J468" s="8"/>
      <c r="K468" s="8"/>
      <c r="L468" s="8"/>
      <c r="M468" s="8"/>
      <c r="P468" s="15"/>
    </row>
    <row r="469" spans="1:16" s="9" customFormat="1" ht="18.75">
      <c r="A469" s="34"/>
      <c r="B469" s="7"/>
      <c r="C469" s="181"/>
      <c r="D469" s="181"/>
      <c r="E469" s="181"/>
      <c r="F469" s="181"/>
      <c r="G469" s="181"/>
      <c r="H469" s="181"/>
      <c r="I469" s="8"/>
      <c r="J469" s="8"/>
      <c r="K469" s="8"/>
      <c r="L469" s="8"/>
      <c r="M469" s="8"/>
      <c r="P469" s="15"/>
    </row>
    <row r="470" spans="1:13" s="69" customFormat="1" ht="15" customHeight="1">
      <c r="A470" s="471" t="s">
        <v>178</v>
      </c>
      <c r="B470" s="472"/>
      <c r="C470" s="169">
        <f aca="true" t="shared" si="37" ref="C470:H470">C479</f>
        <v>6300</v>
      </c>
      <c r="D470" s="169">
        <f t="shared" si="37"/>
        <v>6300</v>
      </c>
      <c r="E470" s="169">
        <f t="shared" si="37"/>
        <v>6300</v>
      </c>
      <c r="F470" s="169">
        <f t="shared" si="37"/>
        <v>6300</v>
      </c>
      <c r="G470" s="169">
        <f t="shared" si="37"/>
        <v>100</v>
      </c>
      <c r="H470" s="169">
        <f t="shared" si="37"/>
        <v>100</v>
      </c>
      <c r="I470" s="19"/>
      <c r="J470" s="19"/>
      <c r="K470" s="19"/>
      <c r="L470" s="19"/>
      <c r="M470" s="19"/>
    </row>
    <row r="471" spans="1:13" s="69" customFormat="1" ht="15" customHeight="1">
      <c r="A471" s="9" t="s">
        <v>155</v>
      </c>
      <c r="B471" s="7"/>
      <c r="C471" s="7"/>
      <c r="D471" s="8"/>
      <c r="E471" s="8"/>
      <c r="F471" s="8"/>
      <c r="G471" s="8"/>
      <c r="H471" s="8"/>
      <c r="I471" s="19"/>
      <c r="J471" s="19"/>
      <c r="K471" s="19"/>
      <c r="L471" s="19"/>
      <c r="M471" s="19"/>
    </row>
    <row r="472" spans="1:13" s="69" customFormat="1" ht="15" customHeight="1">
      <c r="A472" s="444" t="s">
        <v>53</v>
      </c>
      <c r="B472" s="446" t="s">
        <v>0</v>
      </c>
      <c r="C472" s="446" t="s">
        <v>235</v>
      </c>
      <c r="D472" s="441" t="s">
        <v>132</v>
      </c>
      <c r="E472" s="441" t="s">
        <v>226</v>
      </c>
      <c r="F472" s="441" t="s">
        <v>241</v>
      </c>
      <c r="G472" s="441" t="s">
        <v>50</v>
      </c>
      <c r="H472" s="441" t="s">
        <v>50</v>
      </c>
      <c r="I472" s="19"/>
      <c r="J472" s="19"/>
      <c r="K472" s="19"/>
      <c r="L472" s="19"/>
      <c r="M472" s="19"/>
    </row>
    <row r="473" spans="1:16" s="9" customFormat="1" ht="22.5" customHeight="1">
      <c r="A473" s="445"/>
      <c r="B473" s="447"/>
      <c r="C473" s="447"/>
      <c r="D473" s="442"/>
      <c r="E473" s="442"/>
      <c r="F473" s="442"/>
      <c r="G473" s="442"/>
      <c r="H473" s="442"/>
      <c r="I473" s="8"/>
      <c r="J473" s="8"/>
      <c r="K473" s="8"/>
      <c r="L473" s="8"/>
      <c r="M473" s="8"/>
      <c r="P473" s="15"/>
    </row>
    <row r="474" spans="1:13" s="69" customFormat="1" ht="13.5" customHeight="1">
      <c r="A474" s="460">
        <v>1</v>
      </c>
      <c r="B474" s="461"/>
      <c r="C474" s="58">
        <v>2</v>
      </c>
      <c r="D474" s="59">
        <v>3</v>
      </c>
      <c r="E474" s="59">
        <v>4</v>
      </c>
      <c r="F474" s="59">
        <v>5</v>
      </c>
      <c r="G474" s="59" t="s">
        <v>51</v>
      </c>
      <c r="H474" s="59" t="s">
        <v>52</v>
      </c>
      <c r="I474" s="19"/>
      <c r="J474" s="19"/>
      <c r="K474" s="19"/>
      <c r="L474" s="19"/>
      <c r="M474" s="19"/>
    </row>
    <row r="475" spans="1:16" s="9" customFormat="1" ht="15">
      <c r="A475" s="306">
        <v>4</v>
      </c>
      <c r="B475" s="307" t="s">
        <v>113</v>
      </c>
      <c r="C475" s="157">
        <f aca="true" t="shared" si="38" ref="C475:F477">SUM(C476)</f>
        <v>6300</v>
      </c>
      <c r="D475" s="157">
        <f t="shared" si="38"/>
        <v>6300</v>
      </c>
      <c r="E475" s="157">
        <f t="shared" si="38"/>
        <v>6300</v>
      </c>
      <c r="F475" s="157">
        <f t="shared" si="38"/>
        <v>6300</v>
      </c>
      <c r="G475" s="108">
        <v>0</v>
      </c>
      <c r="H475" s="108">
        <v>0</v>
      </c>
      <c r="I475" s="8"/>
      <c r="J475" s="8"/>
      <c r="K475" s="8"/>
      <c r="L475" s="8"/>
      <c r="M475" s="8"/>
      <c r="P475" s="15"/>
    </row>
    <row r="476" spans="1:15" s="309" customFormat="1" ht="17.25" customHeight="1">
      <c r="A476" s="155">
        <v>42</v>
      </c>
      <c r="B476" s="156" t="s">
        <v>111</v>
      </c>
      <c r="C476" s="157">
        <f t="shared" si="38"/>
        <v>6300</v>
      </c>
      <c r="D476" s="157">
        <f t="shared" si="38"/>
        <v>6300</v>
      </c>
      <c r="E476" s="157">
        <f t="shared" si="38"/>
        <v>6300</v>
      </c>
      <c r="F476" s="157">
        <f t="shared" si="38"/>
        <v>6300</v>
      </c>
      <c r="G476" s="109">
        <v>0</v>
      </c>
      <c r="H476" s="109">
        <v>0</v>
      </c>
      <c r="I476" s="308"/>
      <c r="J476" s="308"/>
      <c r="K476" s="308"/>
      <c r="L476" s="308"/>
      <c r="M476" s="308"/>
      <c r="N476" s="296"/>
      <c r="O476" s="296"/>
    </row>
    <row r="477" spans="1:15" s="311" customFormat="1" ht="17.25" customHeight="1">
      <c r="A477" s="235">
        <v>424</v>
      </c>
      <c r="B477" s="236" t="s">
        <v>112</v>
      </c>
      <c r="C477" s="237">
        <f t="shared" si="38"/>
        <v>6300</v>
      </c>
      <c r="D477" s="237">
        <f t="shared" si="38"/>
        <v>6300</v>
      </c>
      <c r="E477" s="237">
        <f t="shared" si="38"/>
        <v>6300</v>
      </c>
      <c r="F477" s="237">
        <f t="shared" si="38"/>
        <v>6300</v>
      </c>
      <c r="G477" s="113">
        <v>0</v>
      </c>
      <c r="H477" s="113">
        <v>0</v>
      </c>
      <c r="I477" s="310"/>
      <c r="J477" s="310"/>
      <c r="K477" s="310"/>
      <c r="L477" s="310"/>
      <c r="M477" s="310"/>
      <c r="N477" s="298"/>
      <c r="O477" s="298"/>
    </row>
    <row r="478" spans="1:16" s="298" customFormat="1" ht="15">
      <c r="A478" s="51">
        <v>4241</v>
      </c>
      <c r="B478" s="48" t="s">
        <v>103</v>
      </c>
      <c r="C478" s="67">
        <v>6300</v>
      </c>
      <c r="D478" s="49">
        <v>6300</v>
      </c>
      <c r="E478" s="49">
        <v>6300</v>
      </c>
      <c r="F478" s="49">
        <v>6300</v>
      </c>
      <c r="G478" s="242">
        <v>0</v>
      </c>
      <c r="H478" s="242">
        <f>F478/E478*100</f>
        <v>100</v>
      </c>
      <c r="I478" s="25"/>
      <c r="J478" s="25"/>
      <c r="K478" s="25"/>
      <c r="L478" s="25"/>
      <c r="M478" s="25"/>
      <c r="P478" s="299"/>
    </row>
    <row r="479" spans="1:13" s="305" customFormat="1" ht="15">
      <c r="A479" s="464" t="s">
        <v>3</v>
      </c>
      <c r="B479" s="465"/>
      <c r="C479" s="148">
        <f>C475</f>
        <v>6300</v>
      </c>
      <c r="D479" s="148">
        <f>D475</f>
        <v>6300</v>
      </c>
      <c r="E479" s="148">
        <f>E475</f>
        <v>6300</v>
      </c>
      <c r="F479" s="148">
        <f>F475</f>
        <v>6300</v>
      </c>
      <c r="G479" s="136">
        <f>F479/C479*100</f>
        <v>100</v>
      </c>
      <c r="H479" s="137">
        <f>F479/E479*100</f>
        <v>100</v>
      </c>
      <c r="I479" s="49"/>
      <c r="J479" s="49"/>
      <c r="K479" s="49"/>
      <c r="L479" s="49"/>
      <c r="M479" s="49"/>
    </row>
    <row r="480" spans="1:13" s="31" customFormat="1" ht="19.5" customHeight="1">
      <c r="A480" s="174"/>
      <c r="B480" s="174"/>
      <c r="C480" s="175"/>
      <c r="D480" s="175"/>
      <c r="E480" s="175"/>
      <c r="F480" s="175"/>
      <c r="G480" s="13"/>
      <c r="H480" s="13"/>
      <c r="I480" s="19"/>
      <c r="J480" s="19"/>
      <c r="K480" s="19"/>
      <c r="L480" s="19"/>
      <c r="M480" s="19"/>
    </row>
    <row r="481" spans="1:16" s="176" customFormat="1" ht="15">
      <c r="A481" s="174"/>
      <c r="B481" s="174"/>
      <c r="C481" s="175"/>
      <c r="D481" s="175"/>
      <c r="E481" s="175"/>
      <c r="F481" s="175"/>
      <c r="G481" s="13"/>
      <c r="H481" s="13"/>
      <c r="I481" s="13"/>
      <c r="J481" s="13"/>
      <c r="K481" s="13"/>
      <c r="L481" s="13"/>
      <c r="M481" s="13"/>
      <c r="P481" s="173"/>
    </row>
    <row r="482" spans="1:16" s="176" customFormat="1" ht="15">
      <c r="A482" s="7"/>
      <c r="B482" s="7"/>
      <c r="C482" s="7"/>
      <c r="D482" s="8"/>
      <c r="E482" s="8"/>
      <c r="F482" s="8"/>
      <c r="G482" s="8"/>
      <c r="H482" s="8"/>
      <c r="I482" s="13"/>
      <c r="J482" s="13"/>
      <c r="K482" s="13"/>
      <c r="L482" s="13"/>
      <c r="M482" s="13"/>
      <c r="P482" s="173"/>
    </row>
    <row r="483" spans="1:16" s="9" customFormat="1" ht="18.75">
      <c r="A483" s="471" t="s">
        <v>222</v>
      </c>
      <c r="B483" s="472"/>
      <c r="C483" s="184">
        <f aca="true" t="shared" si="39" ref="C483:H483">C492</f>
        <v>0</v>
      </c>
      <c r="D483" s="184">
        <f t="shared" si="39"/>
        <v>0</v>
      </c>
      <c r="E483" s="184">
        <f t="shared" si="39"/>
        <v>0</v>
      </c>
      <c r="F483" s="184">
        <f t="shared" si="39"/>
        <v>78229.2</v>
      </c>
      <c r="G483" s="184" t="e">
        <f t="shared" si="39"/>
        <v>#DIV/0!</v>
      </c>
      <c r="H483" s="184" t="e">
        <f t="shared" si="39"/>
        <v>#DIV/0!</v>
      </c>
      <c r="I483" s="8"/>
      <c r="J483" s="8"/>
      <c r="K483" s="8"/>
      <c r="L483" s="8"/>
      <c r="M483" s="8"/>
      <c r="P483" s="15"/>
    </row>
    <row r="484" spans="1:16" s="9" customFormat="1" ht="15" customHeight="1">
      <c r="A484" s="9" t="s">
        <v>155</v>
      </c>
      <c r="B484" s="7"/>
      <c r="C484" s="7"/>
      <c r="D484" s="8"/>
      <c r="E484" s="8"/>
      <c r="F484" s="8"/>
      <c r="G484" s="8"/>
      <c r="H484" s="8"/>
      <c r="I484" s="8"/>
      <c r="J484" s="8"/>
      <c r="K484" s="8"/>
      <c r="L484" s="8"/>
      <c r="M484" s="8"/>
      <c r="P484" s="15"/>
    </row>
    <row r="485" spans="1:16" s="9" customFormat="1" ht="15">
      <c r="A485" s="444" t="s">
        <v>53</v>
      </c>
      <c r="B485" s="446" t="s">
        <v>0</v>
      </c>
      <c r="C485" s="446" t="s">
        <v>235</v>
      </c>
      <c r="D485" s="441" t="s">
        <v>132</v>
      </c>
      <c r="E485" s="441" t="s">
        <v>226</v>
      </c>
      <c r="F485" s="441" t="s">
        <v>241</v>
      </c>
      <c r="G485" s="441" t="s">
        <v>50</v>
      </c>
      <c r="H485" s="441" t="s">
        <v>50</v>
      </c>
      <c r="I485" s="8"/>
      <c r="J485" s="8"/>
      <c r="K485" s="8"/>
      <c r="L485" s="8"/>
      <c r="M485" s="8"/>
      <c r="P485" s="15"/>
    </row>
    <row r="486" spans="1:8" ht="21.75" customHeight="1">
      <c r="A486" s="445"/>
      <c r="B486" s="447"/>
      <c r="C486" s="447"/>
      <c r="D486" s="442"/>
      <c r="E486" s="442"/>
      <c r="F486" s="442"/>
      <c r="G486" s="442"/>
      <c r="H486" s="442"/>
    </row>
    <row r="487" spans="1:8" ht="13.5" customHeight="1">
      <c r="A487" s="460">
        <v>1</v>
      </c>
      <c r="B487" s="461"/>
      <c r="C487" s="58">
        <v>2</v>
      </c>
      <c r="D487" s="59">
        <v>3</v>
      </c>
      <c r="E487" s="59">
        <v>4</v>
      </c>
      <c r="F487" s="59">
        <v>5</v>
      </c>
      <c r="G487" s="59" t="s">
        <v>51</v>
      </c>
      <c r="H487" s="59" t="s">
        <v>52</v>
      </c>
    </row>
    <row r="488" spans="1:8" ht="15">
      <c r="A488" s="306">
        <v>4</v>
      </c>
      <c r="B488" s="307" t="s">
        <v>113</v>
      </c>
      <c r="C488" s="157">
        <f aca="true" t="shared" si="40" ref="C488:F489">SUM(C489)</f>
        <v>0</v>
      </c>
      <c r="D488" s="157">
        <f t="shared" si="40"/>
        <v>0</v>
      </c>
      <c r="E488" s="157">
        <f t="shared" si="40"/>
        <v>0</v>
      </c>
      <c r="F488" s="157">
        <f t="shared" si="40"/>
        <v>78229.2</v>
      </c>
      <c r="G488" s="108">
        <v>0</v>
      </c>
      <c r="H488" s="108">
        <v>0</v>
      </c>
    </row>
    <row r="489" spans="1:8" s="309" customFormat="1" ht="15">
      <c r="A489" s="155">
        <v>42</v>
      </c>
      <c r="B489" s="156" t="s">
        <v>111</v>
      </c>
      <c r="C489" s="157">
        <f>SUM(C490)</f>
        <v>0</v>
      </c>
      <c r="D489" s="157">
        <f t="shared" si="40"/>
        <v>0</v>
      </c>
      <c r="E489" s="157">
        <f t="shared" si="40"/>
        <v>0</v>
      </c>
      <c r="F489" s="157">
        <f t="shared" si="40"/>
        <v>78229.2</v>
      </c>
      <c r="G489" s="109">
        <v>0</v>
      </c>
      <c r="H489" s="109" t="e">
        <f>F489/E489*100</f>
        <v>#DIV/0!</v>
      </c>
    </row>
    <row r="490" spans="1:8" s="311" customFormat="1" ht="15">
      <c r="A490" s="235">
        <v>422</v>
      </c>
      <c r="B490" s="236" t="s">
        <v>18</v>
      </c>
      <c r="C490" s="237">
        <f>SUM(C491:C491)</f>
        <v>0</v>
      </c>
      <c r="D490" s="237">
        <f>SUM(D491:D491)</f>
        <v>0</v>
      </c>
      <c r="E490" s="237">
        <f>SUM(E491:E491)</f>
        <v>0</v>
      </c>
      <c r="F490" s="237">
        <f>SUM(F491:F491)</f>
        <v>78229.2</v>
      </c>
      <c r="G490" s="113">
        <v>0</v>
      </c>
      <c r="H490" s="113" t="e">
        <f>F490/E490*100</f>
        <v>#DIV/0!</v>
      </c>
    </row>
    <row r="491" spans="1:8" s="311" customFormat="1" ht="15">
      <c r="A491" s="51">
        <v>4227</v>
      </c>
      <c r="B491" s="48" t="s">
        <v>254</v>
      </c>
      <c r="C491" s="67">
        <v>0</v>
      </c>
      <c r="D491" s="49">
        <v>0</v>
      </c>
      <c r="E491" s="49">
        <v>0</v>
      </c>
      <c r="F491" s="49">
        <v>78229.2</v>
      </c>
      <c r="G491" s="242">
        <v>0</v>
      </c>
      <c r="H491" s="242" t="e">
        <f>F491/E491*100</f>
        <v>#DIV/0!</v>
      </c>
    </row>
    <row r="492" spans="1:8" s="312" customFormat="1" ht="15">
      <c r="A492" s="464" t="s">
        <v>3</v>
      </c>
      <c r="B492" s="465"/>
      <c r="C492" s="148">
        <f>C488</f>
        <v>0</v>
      </c>
      <c r="D492" s="148">
        <f>D488</f>
        <v>0</v>
      </c>
      <c r="E492" s="148">
        <f>E488</f>
        <v>0</v>
      </c>
      <c r="F492" s="148">
        <f>F488</f>
        <v>78229.2</v>
      </c>
      <c r="G492" s="136" t="e">
        <f>F492/C492*100</f>
        <v>#DIV/0!</v>
      </c>
      <c r="H492" s="137" t="e">
        <f>F492/E492*100</f>
        <v>#DIV/0!</v>
      </c>
    </row>
    <row r="493" spans="1:8" ht="15">
      <c r="A493" s="7"/>
      <c r="B493" s="7"/>
      <c r="C493" s="7"/>
      <c r="D493" s="8"/>
      <c r="E493" s="8"/>
      <c r="F493" s="8"/>
      <c r="G493" s="8"/>
      <c r="H493" s="8"/>
    </row>
    <row r="494" spans="1:8" ht="15">
      <c r="A494" s="7"/>
      <c r="B494" s="7"/>
      <c r="C494" s="7"/>
      <c r="D494" s="8"/>
      <c r="E494" s="8"/>
      <c r="F494" s="8"/>
      <c r="G494" s="8"/>
      <c r="H494" s="8"/>
    </row>
    <row r="495" spans="1:8" ht="15">
      <c r="A495" s="7"/>
      <c r="B495" s="7"/>
      <c r="C495" s="7"/>
      <c r="D495" s="8"/>
      <c r="E495" s="8"/>
      <c r="F495" s="8"/>
      <c r="G495" s="8"/>
      <c r="H495" s="8"/>
    </row>
    <row r="496" spans="1:8" ht="30.75" customHeight="1">
      <c r="A496" s="458" t="s">
        <v>179</v>
      </c>
      <c r="B496" s="458"/>
      <c r="C496" s="365">
        <f aca="true" t="shared" si="41" ref="C496:H496">C498</f>
        <v>6698897</v>
      </c>
      <c r="D496" s="365">
        <f t="shared" si="41"/>
        <v>6250000</v>
      </c>
      <c r="E496" s="365">
        <f t="shared" si="41"/>
        <v>6832200</v>
      </c>
      <c r="F496" s="365">
        <f>F498</f>
        <v>7148618.65</v>
      </c>
      <c r="G496" s="365">
        <f t="shared" si="41"/>
        <v>106.71336863367209</v>
      </c>
      <c r="H496" s="365">
        <f t="shared" si="41"/>
        <v>104.63128494482012</v>
      </c>
    </row>
    <row r="497" spans="1:8" s="172" customFormat="1" ht="16.5" customHeight="1">
      <c r="A497" s="367"/>
      <c r="B497" s="367"/>
      <c r="C497" s="368"/>
      <c r="D497" s="368"/>
      <c r="E497" s="368"/>
      <c r="F497" s="368"/>
      <c r="G497" s="368"/>
      <c r="H497" s="368"/>
    </row>
    <row r="498" spans="1:8" ht="20.25" customHeight="1">
      <c r="A498" s="483" t="s">
        <v>180</v>
      </c>
      <c r="B498" s="484"/>
      <c r="C498" s="366">
        <f aca="true" t="shared" si="42" ref="C498:H498">C524</f>
        <v>6698897</v>
      </c>
      <c r="D498" s="366">
        <f t="shared" si="42"/>
        <v>6250000</v>
      </c>
      <c r="E498" s="366">
        <f t="shared" si="42"/>
        <v>6832200</v>
      </c>
      <c r="F498" s="366">
        <f>F524</f>
        <v>7148618.65</v>
      </c>
      <c r="G498" s="366">
        <f t="shared" si="42"/>
        <v>106.71336863367209</v>
      </c>
      <c r="H498" s="366">
        <f t="shared" si="42"/>
        <v>104.63128494482012</v>
      </c>
    </row>
    <row r="499" spans="1:8" ht="15">
      <c r="A499" s="9" t="s">
        <v>165</v>
      </c>
      <c r="B499" s="7"/>
      <c r="C499" s="7"/>
      <c r="D499" s="8"/>
      <c r="E499" s="8"/>
      <c r="F499" s="8"/>
      <c r="G499" s="8"/>
      <c r="H499" s="8"/>
    </row>
    <row r="500" spans="1:8" ht="15">
      <c r="A500" s="444" t="s">
        <v>53</v>
      </c>
      <c r="B500" s="446" t="s">
        <v>0</v>
      </c>
      <c r="C500" s="446" t="s">
        <v>235</v>
      </c>
      <c r="D500" s="441" t="s">
        <v>132</v>
      </c>
      <c r="E500" s="441" t="s">
        <v>226</v>
      </c>
      <c r="F500" s="441" t="s">
        <v>241</v>
      </c>
      <c r="G500" s="441" t="s">
        <v>50</v>
      </c>
      <c r="H500" s="441" t="s">
        <v>50</v>
      </c>
    </row>
    <row r="501" spans="1:8" ht="28.5" customHeight="1">
      <c r="A501" s="445"/>
      <c r="B501" s="447"/>
      <c r="C501" s="447"/>
      <c r="D501" s="442"/>
      <c r="E501" s="442"/>
      <c r="F501" s="442"/>
      <c r="G501" s="442"/>
      <c r="H501" s="442"/>
    </row>
    <row r="502" spans="1:8" ht="11.25" customHeight="1">
      <c r="A502" s="460">
        <v>1</v>
      </c>
      <c r="B502" s="461"/>
      <c r="C502" s="58">
        <v>2</v>
      </c>
      <c r="D502" s="59">
        <v>3</v>
      </c>
      <c r="E502" s="59">
        <v>4</v>
      </c>
      <c r="F502" s="59">
        <v>5</v>
      </c>
      <c r="G502" s="59" t="s">
        <v>51</v>
      </c>
      <c r="H502" s="59" t="s">
        <v>52</v>
      </c>
    </row>
    <row r="503" spans="1:8" ht="15">
      <c r="A503" s="153">
        <v>31</v>
      </c>
      <c r="B503" s="125" t="s">
        <v>4</v>
      </c>
      <c r="C503" s="149">
        <f>SUM(C504,C506,C508)</f>
        <v>6477969</v>
      </c>
      <c r="D503" s="149">
        <f>SUM(D504,D506,D508)</f>
        <v>6044000</v>
      </c>
      <c r="E503" s="149">
        <f>SUM(E504,E506,E508)</f>
        <v>6576700</v>
      </c>
      <c r="F503" s="149">
        <f>SUM(F504,F506,F508)</f>
        <v>6913030.83</v>
      </c>
      <c r="G503" s="108">
        <f>F503/C503*100</f>
        <v>106.71602210507645</v>
      </c>
      <c r="H503" s="108">
        <f aca="true" t="shared" si="43" ref="H503:H510">F503/E503*100</f>
        <v>105.11397555004788</v>
      </c>
    </row>
    <row r="504" spans="1:8" s="309" customFormat="1" ht="15" customHeight="1">
      <c r="A504" s="140">
        <v>311</v>
      </c>
      <c r="B504" s="116" t="s">
        <v>114</v>
      </c>
      <c r="C504" s="151">
        <f>SUM(C505)</f>
        <v>5372357</v>
      </c>
      <c r="D504" s="151">
        <f>SUM(D505)</f>
        <v>4980000</v>
      </c>
      <c r="E504" s="151">
        <f>SUM(E505)</f>
        <v>5430000</v>
      </c>
      <c r="F504" s="151">
        <f>SUM(F505)</f>
        <v>5728298.61</v>
      </c>
      <c r="G504" s="113">
        <f>F504/C504*100</f>
        <v>106.62542734967167</v>
      </c>
      <c r="H504" s="113">
        <f t="shared" si="43"/>
        <v>105.49352872928178</v>
      </c>
    </row>
    <row r="505" spans="1:8" s="311" customFormat="1" ht="18.75" customHeight="1">
      <c r="A505" s="16">
        <v>3111</v>
      </c>
      <c r="B505" s="17" t="s">
        <v>54</v>
      </c>
      <c r="C505" s="66">
        <f>5314329+58028</f>
        <v>5372357</v>
      </c>
      <c r="D505" s="99">
        <v>4980000</v>
      </c>
      <c r="E505" s="99">
        <v>5430000</v>
      </c>
      <c r="F505" s="99">
        <v>5728298.61</v>
      </c>
      <c r="G505" s="25">
        <f>F505/C505*100</f>
        <v>106.62542734967167</v>
      </c>
      <c r="H505" s="25">
        <f t="shared" si="43"/>
        <v>105.49352872928178</v>
      </c>
    </row>
    <row r="506" spans="1:8" s="311" customFormat="1" ht="15">
      <c r="A506" s="140">
        <v>312</v>
      </c>
      <c r="B506" s="116" t="s">
        <v>115</v>
      </c>
      <c r="C506" s="151">
        <f>SUM(C507)</f>
        <v>222826</v>
      </c>
      <c r="D506" s="151">
        <f>SUM(D507)</f>
        <v>242000</v>
      </c>
      <c r="E506" s="151">
        <f>SUM(E507)</f>
        <v>250000</v>
      </c>
      <c r="F506" s="151">
        <f>SUM(F507)</f>
        <v>248302.13</v>
      </c>
      <c r="G506" s="113">
        <f aca="true" t="shared" si="44" ref="G506:G518">F506/C506*100</f>
        <v>111.43319451051494</v>
      </c>
      <c r="H506" s="113">
        <f t="shared" si="43"/>
        <v>99.320852</v>
      </c>
    </row>
    <row r="507" spans="1:8" s="311" customFormat="1" ht="15">
      <c r="A507" s="16">
        <v>3121</v>
      </c>
      <c r="B507" s="17" t="s">
        <v>115</v>
      </c>
      <c r="C507" s="66">
        <f>150826+72000</f>
        <v>222826</v>
      </c>
      <c r="D507" s="66">
        <v>242000</v>
      </c>
      <c r="E507" s="66">
        <v>250000</v>
      </c>
      <c r="F507" s="18">
        <v>248302.13</v>
      </c>
      <c r="G507" s="18">
        <f t="shared" si="44"/>
        <v>111.43319451051494</v>
      </c>
      <c r="H507" s="18">
        <f t="shared" si="43"/>
        <v>99.320852</v>
      </c>
    </row>
    <row r="508" spans="1:16" s="262" customFormat="1" ht="15">
      <c r="A508" s="140">
        <v>313</v>
      </c>
      <c r="B508" s="116" t="s">
        <v>7</v>
      </c>
      <c r="C508" s="151">
        <f>SUM(C509:C510)</f>
        <v>882786</v>
      </c>
      <c r="D508" s="151">
        <f>SUM(D509:D510)</f>
        <v>822000</v>
      </c>
      <c r="E508" s="151">
        <f>SUM(E509:E510)</f>
        <v>896700</v>
      </c>
      <c r="F508" s="151">
        <f>SUM(F509:F510)</f>
        <v>936430.0900000001</v>
      </c>
      <c r="G508" s="113">
        <f t="shared" si="44"/>
        <v>106.07668109825032</v>
      </c>
      <c r="H508" s="113">
        <f t="shared" si="43"/>
        <v>104.43070034571207</v>
      </c>
      <c r="I508" s="18"/>
      <c r="J508" s="18"/>
      <c r="K508" s="18"/>
      <c r="L508" s="18"/>
      <c r="M508" s="18"/>
      <c r="P508" s="311"/>
    </row>
    <row r="509" spans="1:13" s="262" customFormat="1" ht="15">
      <c r="A509" s="16">
        <v>3132</v>
      </c>
      <c r="B509" s="17" t="s">
        <v>55</v>
      </c>
      <c r="C509" s="66">
        <f>872805+8704+290</f>
        <v>881799</v>
      </c>
      <c r="D509" s="66">
        <v>822000</v>
      </c>
      <c r="E509" s="66">
        <v>895000</v>
      </c>
      <c r="F509" s="18">
        <v>936140.3</v>
      </c>
      <c r="G509" s="18">
        <f t="shared" si="44"/>
        <v>106.16254951525235</v>
      </c>
      <c r="H509" s="18">
        <f t="shared" si="43"/>
        <v>104.59668156424581</v>
      </c>
      <c r="I509" s="18"/>
      <c r="J509" s="18"/>
      <c r="K509" s="18"/>
      <c r="L509" s="18"/>
      <c r="M509" s="18"/>
    </row>
    <row r="510" spans="1:13" s="96" customFormat="1" ht="15" customHeight="1">
      <c r="A510" s="16">
        <v>3133</v>
      </c>
      <c r="B510" s="17" t="s">
        <v>56</v>
      </c>
      <c r="C510" s="66">
        <v>987</v>
      </c>
      <c r="D510" s="66">
        <v>0</v>
      </c>
      <c r="E510" s="66">
        <v>1700</v>
      </c>
      <c r="F510" s="18">
        <v>289.79</v>
      </c>
      <c r="G510" s="199">
        <f t="shared" si="44"/>
        <v>29.360688956433638</v>
      </c>
      <c r="H510" s="199">
        <f t="shared" si="43"/>
        <v>17.046470588235294</v>
      </c>
      <c r="I510" s="18"/>
      <c r="J510" s="18"/>
      <c r="K510" s="18"/>
      <c r="L510" s="18"/>
      <c r="M510" s="18"/>
    </row>
    <row r="511" spans="1:8" s="311" customFormat="1" ht="15">
      <c r="A511" s="139">
        <v>32</v>
      </c>
      <c r="B511" s="127" t="s">
        <v>8</v>
      </c>
      <c r="C511" s="150">
        <f>SUM(C512+C515+C518)</f>
        <v>199776</v>
      </c>
      <c r="D511" s="150">
        <f>SUM(D512+D515+D518)</f>
        <v>206000</v>
      </c>
      <c r="E511" s="150">
        <f>SUM(E512+E515+E518)</f>
        <v>226800</v>
      </c>
      <c r="F511" s="150">
        <f>SUM(F512+F515+F518)</f>
        <v>215981.93</v>
      </c>
      <c r="G511" s="109">
        <f t="shared" si="44"/>
        <v>108.11205049655615</v>
      </c>
      <c r="H511" s="109">
        <f>F511/E511*100</f>
        <v>95.2301278659612</v>
      </c>
    </row>
    <row r="512" spans="1:8" s="311" customFormat="1" ht="15">
      <c r="A512" s="140">
        <v>321</v>
      </c>
      <c r="B512" s="116" t="s">
        <v>9</v>
      </c>
      <c r="C512" s="151">
        <f>SUM(C513:C513)</f>
        <v>140940</v>
      </c>
      <c r="D512" s="151">
        <f>SUM(D513:D513)</f>
        <v>175000</v>
      </c>
      <c r="E512" s="151">
        <f>SUM(E513:E513)</f>
        <v>172000</v>
      </c>
      <c r="F512" s="151">
        <f>SUM(F513:F514)</f>
        <v>149395.11</v>
      </c>
      <c r="G512" s="113">
        <f t="shared" si="44"/>
        <v>105.99908471690081</v>
      </c>
      <c r="H512" s="113">
        <f>F512/E512*100</f>
        <v>86.85762209302325</v>
      </c>
    </row>
    <row r="513" spans="1:8" s="311" customFormat="1" ht="15">
      <c r="A513" s="16">
        <v>3212</v>
      </c>
      <c r="B513" s="17" t="s">
        <v>185</v>
      </c>
      <c r="C513" s="66">
        <v>140940</v>
      </c>
      <c r="D513" s="18">
        <v>175000</v>
      </c>
      <c r="E513" s="18">
        <v>172000</v>
      </c>
      <c r="F513" s="18">
        <v>148499.11</v>
      </c>
      <c r="G513" s="186">
        <f t="shared" si="44"/>
        <v>105.36335319994323</v>
      </c>
      <c r="H513" s="186">
        <f>F513/E513*100</f>
        <v>86.33669186046511</v>
      </c>
    </row>
    <row r="514" spans="1:8" s="311" customFormat="1" ht="15">
      <c r="A514" s="16">
        <v>3214</v>
      </c>
      <c r="B514" s="17" t="s">
        <v>252</v>
      </c>
      <c r="C514" s="66">
        <v>0</v>
      </c>
      <c r="D514" s="18"/>
      <c r="E514" s="18">
        <v>0</v>
      </c>
      <c r="F514" s="18">
        <v>896</v>
      </c>
      <c r="G514" s="186" t="e">
        <f t="shared" si="44"/>
        <v>#DIV/0!</v>
      </c>
      <c r="H514" s="186" t="e">
        <f>F514/E514*100</f>
        <v>#DIV/0!</v>
      </c>
    </row>
    <row r="515" spans="1:8" s="311" customFormat="1" ht="15">
      <c r="A515" s="140">
        <v>323</v>
      </c>
      <c r="B515" s="116" t="s">
        <v>13</v>
      </c>
      <c r="C515" s="151">
        <f>SUM(C516:C517)</f>
        <v>8861</v>
      </c>
      <c r="D515" s="151">
        <f>SUM(D516:D516)</f>
        <v>4000</v>
      </c>
      <c r="E515" s="151">
        <f>SUM(E516:E517)</f>
        <v>4000</v>
      </c>
      <c r="F515" s="151">
        <f>SUM(F516:F517)</f>
        <v>13636.82</v>
      </c>
      <c r="G515" s="113">
        <f t="shared" si="44"/>
        <v>153.8970770793364</v>
      </c>
      <c r="H515" s="113">
        <f aca="true" t="shared" si="45" ref="H515:H520">F515/E515*100</f>
        <v>340.9205</v>
      </c>
    </row>
    <row r="516" spans="1:8" s="311" customFormat="1" ht="15">
      <c r="A516" s="16" t="s">
        <v>66</v>
      </c>
      <c r="B516" s="17" t="s">
        <v>67</v>
      </c>
      <c r="C516" s="98">
        <v>4661</v>
      </c>
      <c r="D516" s="18">
        <v>4000</v>
      </c>
      <c r="E516" s="18">
        <v>4000</v>
      </c>
      <c r="F516" s="18">
        <v>5846.82</v>
      </c>
      <c r="G516" s="25">
        <f t="shared" si="44"/>
        <v>125.44132160480584</v>
      </c>
      <c r="H516" s="25">
        <f t="shared" si="45"/>
        <v>146.1705</v>
      </c>
    </row>
    <row r="517" spans="1:8" s="311" customFormat="1" ht="15">
      <c r="A517" s="16">
        <v>3236</v>
      </c>
      <c r="B517" s="17" t="s">
        <v>186</v>
      </c>
      <c r="C517" s="98">
        <v>4200</v>
      </c>
      <c r="D517" s="18">
        <v>0</v>
      </c>
      <c r="E517" s="18">
        <v>0</v>
      </c>
      <c r="F517" s="18">
        <v>7790</v>
      </c>
      <c r="G517" s="25">
        <f t="shared" si="44"/>
        <v>185.47619047619048</v>
      </c>
      <c r="H517" s="25">
        <v>0</v>
      </c>
    </row>
    <row r="518" spans="1:8" s="311" customFormat="1" ht="15">
      <c r="A518" s="140">
        <v>329</v>
      </c>
      <c r="B518" s="116" t="s">
        <v>15</v>
      </c>
      <c r="C518" s="151">
        <f>SUM(C519:C520)</f>
        <v>49975</v>
      </c>
      <c r="D518" s="151">
        <f>SUM(D519:D520)</f>
        <v>27000</v>
      </c>
      <c r="E518" s="151">
        <f>SUM(E519:E520)</f>
        <v>50800</v>
      </c>
      <c r="F518" s="151">
        <f>SUM(F519:F520)</f>
        <v>52950</v>
      </c>
      <c r="G518" s="113">
        <f t="shared" si="44"/>
        <v>105.95297648824413</v>
      </c>
      <c r="H518" s="113">
        <f t="shared" si="45"/>
        <v>104.23228346456692</v>
      </c>
    </row>
    <row r="519" spans="1:8" s="311" customFormat="1" ht="15">
      <c r="A519" s="16">
        <v>3295</v>
      </c>
      <c r="B519" s="17" t="s">
        <v>79</v>
      </c>
      <c r="C519" s="98">
        <v>13413</v>
      </c>
      <c r="D519" s="18">
        <v>27000</v>
      </c>
      <c r="E519" s="18">
        <v>26800</v>
      </c>
      <c r="F519" s="18">
        <v>22325</v>
      </c>
      <c r="G519" s="25">
        <f>F519/C519*100</f>
        <v>166.44300305673602</v>
      </c>
      <c r="H519" s="25">
        <f t="shared" si="45"/>
        <v>83.30223880597015</v>
      </c>
    </row>
    <row r="520" spans="1:8" s="311" customFormat="1" ht="15">
      <c r="A520" s="16">
        <v>3296</v>
      </c>
      <c r="B520" s="17" t="s">
        <v>134</v>
      </c>
      <c r="C520" s="98">
        <v>36562</v>
      </c>
      <c r="D520" s="18">
        <v>0</v>
      </c>
      <c r="E520" s="18">
        <v>24000</v>
      </c>
      <c r="F520" s="18">
        <v>30625</v>
      </c>
      <c r="G520" s="25">
        <f>F520/C520*100</f>
        <v>83.7618292215962</v>
      </c>
      <c r="H520" s="25">
        <f t="shared" si="45"/>
        <v>127.60416666666667</v>
      </c>
    </row>
    <row r="521" spans="1:8" s="311" customFormat="1" ht="15">
      <c r="A521" s="139">
        <v>34</v>
      </c>
      <c r="B521" s="127" t="s">
        <v>16</v>
      </c>
      <c r="C521" s="150">
        <f aca="true" t="shared" si="46" ref="C521:F522">SUM(C522)</f>
        <v>21152</v>
      </c>
      <c r="D521" s="150">
        <f t="shared" si="46"/>
        <v>0</v>
      </c>
      <c r="E521" s="150">
        <f t="shared" si="46"/>
        <v>28700</v>
      </c>
      <c r="F521" s="150">
        <f t="shared" si="46"/>
        <v>19605.89</v>
      </c>
      <c r="G521" s="109">
        <v>0</v>
      </c>
      <c r="H521" s="109">
        <v>0</v>
      </c>
    </row>
    <row r="522" spans="1:8" s="311" customFormat="1" ht="15">
      <c r="A522" s="140">
        <v>343</v>
      </c>
      <c r="B522" s="116" t="s">
        <v>17</v>
      </c>
      <c r="C522" s="151">
        <f t="shared" si="46"/>
        <v>21152</v>
      </c>
      <c r="D522" s="151">
        <f t="shared" si="46"/>
        <v>0</v>
      </c>
      <c r="E522" s="151">
        <f t="shared" si="46"/>
        <v>28700</v>
      </c>
      <c r="F522" s="151">
        <f t="shared" si="46"/>
        <v>19605.89</v>
      </c>
      <c r="G522" s="113">
        <v>0</v>
      </c>
      <c r="H522" s="113">
        <v>0</v>
      </c>
    </row>
    <row r="523" spans="1:8" s="311" customFormat="1" ht="15">
      <c r="A523" s="51">
        <v>3433</v>
      </c>
      <c r="B523" s="48" t="s">
        <v>135</v>
      </c>
      <c r="C523" s="200">
        <f>419+7564+13169</f>
        <v>21152</v>
      </c>
      <c r="D523" s="49">
        <v>0</v>
      </c>
      <c r="E523" s="49">
        <v>28700</v>
      </c>
      <c r="F523" s="49">
        <v>19605.89</v>
      </c>
      <c r="G523" s="241">
        <v>0</v>
      </c>
      <c r="H523" s="241">
        <v>0</v>
      </c>
    </row>
    <row r="524" spans="1:8" s="312" customFormat="1" ht="15">
      <c r="A524" s="464" t="s">
        <v>3</v>
      </c>
      <c r="B524" s="465"/>
      <c r="C524" s="148">
        <f>C521+C511+C503</f>
        <v>6698897</v>
      </c>
      <c r="D524" s="148">
        <f>D521+D511+D503</f>
        <v>6250000</v>
      </c>
      <c r="E524" s="148">
        <f>E521+E511+E503</f>
        <v>6832200</v>
      </c>
      <c r="F524" s="148">
        <f>F521+F511+F503</f>
        <v>7148618.65</v>
      </c>
      <c r="G524" s="136">
        <f>F524/C524*100</f>
        <v>106.71336863367209</v>
      </c>
      <c r="H524" s="137">
        <f>F524/E524*100</f>
        <v>104.63128494482012</v>
      </c>
    </row>
    <row r="525" spans="1:8" ht="15">
      <c r="A525" s="7"/>
      <c r="B525" s="7"/>
      <c r="C525" s="7"/>
      <c r="D525" s="8"/>
      <c r="E525" s="8"/>
      <c r="F525" s="8"/>
      <c r="G525" s="8"/>
      <c r="H525" s="8"/>
    </row>
    <row r="526" spans="1:8" ht="15">
      <c r="A526" s="28"/>
      <c r="B526" s="28"/>
      <c r="C526" s="28"/>
      <c r="D526" s="27"/>
      <c r="E526" s="27"/>
      <c r="F526" s="27"/>
      <c r="G526" s="27"/>
      <c r="H526" s="29"/>
    </row>
    <row r="527" spans="1:8" ht="15">
      <c r="A527" s="28"/>
      <c r="B527" s="28"/>
      <c r="C527" s="28"/>
      <c r="D527" s="27"/>
      <c r="E527" s="27"/>
      <c r="F527" s="27"/>
      <c r="G527" s="27"/>
      <c r="H527" s="29"/>
    </row>
    <row r="528" spans="1:8" ht="19.5">
      <c r="A528" s="493" t="s">
        <v>38</v>
      </c>
      <c r="B528" s="494"/>
      <c r="C528" s="158">
        <f>C496+C200+C468+C133+C449</f>
        <v>8050498.35</v>
      </c>
      <c r="D528" s="158" t="e">
        <f>D496+D200+D468+D133</f>
        <v>#REF!</v>
      </c>
      <c r="E528" s="158">
        <f>E496+E200+E468+E133+E449</f>
        <v>8495805</v>
      </c>
      <c r="F528" s="158">
        <f>F496+F200+F468+F133</f>
        <v>8640871.33</v>
      </c>
      <c r="G528" s="131">
        <f>F528/C528*100</f>
        <v>107.33337185268785</v>
      </c>
      <c r="H528" s="131">
        <f>F528/E528*100</f>
        <v>101.70750541002296</v>
      </c>
    </row>
    <row r="529" spans="1:8" ht="19.5">
      <c r="A529" s="53"/>
      <c r="B529" s="53"/>
      <c r="C529" s="53"/>
      <c r="D529" s="53"/>
      <c r="E529" s="53"/>
      <c r="F529" s="53"/>
      <c r="G529" s="53"/>
      <c r="H529" s="53"/>
    </row>
    <row r="530" spans="1:8" ht="19.5">
      <c r="A530" s="53"/>
      <c r="B530" s="53"/>
      <c r="C530" s="53"/>
      <c r="D530" s="53"/>
      <c r="E530" s="53"/>
      <c r="F530" s="53"/>
      <c r="G530" s="53"/>
      <c r="H530" s="53"/>
    </row>
    <row r="531" spans="1:8" ht="19.5">
      <c r="A531" s="53"/>
      <c r="B531" s="53"/>
      <c r="C531" s="53"/>
      <c r="D531" s="53"/>
      <c r="E531" s="53"/>
      <c r="F531" s="53"/>
      <c r="G531" s="53"/>
      <c r="H531" s="53"/>
    </row>
    <row r="532" spans="1:8" ht="19.5">
      <c r="A532" s="53"/>
      <c r="B532" s="53"/>
      <c r="C532" s="53"/>
      <c r="D532" s="53"/>
      <c r="E532" s="53"/>
      <c r="F532" s="53"/>
      <c r="G532" s="53"/>
      <c r="H532" s="53"/>
    </row>
    <row r="533" spans="1:8" ht="19.5">
      <c r="A533" s="53"/>
      <c r="B533" s="53"/>
      <c r="C533" s="53"/>
      <c r="D533" s="53"/>
      <c r="E533" s="53"/>
      <c r="F533" s="53"/>
      <c r="G533" s="53"/>
      <c r="H533" s="53"/>
    </row>
    <row r="534" spans="1:8" ht="19.5">
      <c r="A534" s="53"/>
      <c r="B534" s="53"/>
      <c r="C534" s="53"/>
      <c r="D534" s="53"/>
      <c r="E534" s="53"/>
      <c r="F534" s="53"/>
      <c r="G534" s="53"/>
      <c r="H534" s="53"/>
    </row>
    <row r="535" spans="1:8" ht="19.5">
      <c r="A535" s="53"/>
      <c r="B535" s="53"/>
      <c r="C535" s="53"/>
      <c r="D535" s="53"/>
      <c r="E535" s="53"/>
      <c r="F535" s="53"/>
      <c r="G535" s="53"/>
      <c r="H535" s="53"/>
    </row>
    <row r="536" spans="1:8" ht="19.5">
      <c r="A536" s="53"/>
      <c r="B536" s="53"/>
      <c r="C536" s="53"/>
      <c r="D536" s="53"/>
      <c r="E536" s="53"/>
      <c r="F536" s="53"/>
      <c r="G536" s="53"/>
      <c r="H536" s="53"/>
    </row>
    <row r="537" spans="1:8" ht="19.5">
      <c r="A537" s="53"/>
      <c r="B537" s="53"/>
      <c r="C537" s="53"/>
      <c r="D537" s="53"/>
      <c r="E537" s="53"/>
      <c r="F537" s="53"/>
      <c r="G537" s="53"/>
      <c r="H537" s="53"/>
    </row>
    <row r="538" spans="1:8" ht="19.5">
      <c r="A538" s="53"/>
      <c r="B538" s="53"/>
      <c r="C538" s="53"/>
      <c r="D538" s="53"/>
      <c r="E538" s="53"/>
      <c r="F538" s="53"/>
      <c r="G538" s="53"/>
      <c r="H538" s="53"/>
    </row>
    <row r="539" spans="1:8" ht="19.5">
      <c r="A539" s="53"/>
      <c r="B539" s="53"/>
      <c r="C539" s="53"/>
      <c r="D539" s="53"/>
      <c r="E539" s="53"/>
      <c r="F539" s="53"/>
      <c r="G539" s="53"/>
      <c r="H539" s="53"/>
    </row>
    <row r="540" spans="1:8" ht="19.5">
      <c r="A540" s="53"/>
      <c r="B540" s="53"/>
      <c r="C540" s="53"/>
      <c r="D540" s="53"/>
      <c r="E540" s="53"/>
      <c r="F540" s="53"/>
      <c r="G540" s="53"/>
      <c r="H540" s="53"/>
    </row>
    <row r="541" spans="1:8" ht="19.5">
      <c r="A541" s="53"/>
      <c r="B541" s="53"/>
      <c r="C541" s="53"/>
      <c r="D541" s="53"/>
      <c r="E541" s="53"/>
      <c r="F541" s="53"/>
      <c r="G541" s="53"/>
      <c r="H541" s="53"/>
    </row>
    <row r="542" spans="1:8" ht="19.5">
      <c r="A542" s="53"/>
      <c r="B542" s="53"/>
      <c r="C542" s="53"/>
      <c r="D542" s="53"/>
      <c r="E542" s="53"/>
      <c r="F542" s="53"/>
      <c r="G542" s="53"/>
      <c r="H542" s="53"/>
    </row>
    <row r="543" spans="1:8" ht="19.5">
      <c r="A543" s="53"/>
      <c r="B543" s="53"/>
      <c r="C543" s="53"/>
      <c r="D543" s="53"/>
      <c r="E543" s="53"/>
      <c r="F543" s="53"/>
      <c r="G543" s="53"/>
      <c r="H543" s="53"/>
    </row>
    <row r="544" spans="1:8" ht="19.5">
      <c r="A544" s="53"/>
      <c r="B544" s="53"/>
      <c r="C544" s="53"/>
      <c r="D544" s="53"/>
      <c r="E544" s="53"/>
      <c r="F544" s="53"/>
      <c r="G544" s="53"/>
      <c r="H544" s="53"/>
    </row>
    <row r="545" spans="1:8" ht="19.5">
      <c r="A545" s="53"/>
      <c r="B545" s="53"/>
      <c r="C545" s="53"/>
      <c r="D545" s="53"/>
      <c r="E545" s="53"/>
      <c r="F545" s="53"/>
      <c r="G545" s="53"/>
      <c r="H545" s="53"/>
    </row>
    <row r="546" spans="1:7" ht="20.25">
      <c r="A546" s="482" t="s">
        <v>21</v>
      </c>
      <c r="B546" s="482"/>
      <c r="C546" s="482"/>
      <c r="D546" s="482"/>
      <c r="E546" s="482"/>
      <c r="F546" s="482"/>
      <c r="G546" s="482"/>
    </row>
    <row r="547" spans="4:7" ht="15">
      <c r="D547" s="30"/>
      <c r="E547" s="30"/>
      <c r="F547" s="30"/>
      <c r="G547" s="30"/>
    </row>
    <row r="548" spans="4:7" ht="15">
      <c r="D548" s="30"/>
      <c r="E548" s="30"/>
      <c r="F548" s="30"/>
      <c r="G548" s="30"/>
    </row>
    <row r="549" spans="1:8" ht="15">
      <c r="A549" s="475" t="s">
        <v>53</v>
      </c>
      <c r="B549" s="477" t="s">
        <v>0</v>
      </c>
      <c r="C549" s="446" t="s">
        <v>235</v>
      </c>
      <c r="D549" s="485" t="s">
        <v>132</v>
      </c>
      <c r="E549" s="441" t="s">
        <v>226</v>
      </c>
      <c r="F549" s="441" t="s">
        <v>241</v>
      </c>
      <c r="G549" s="485" t="s">
        <v>50</v>
      </c>
      <c r="H549" s="485" t="s">
        <v>50</v>
      </c>
    </row>
    <row r="550" spans="1:8" ht="24" customHeight="1">
      <c r="A550" s="476"/>
      <c r="B550" s="478"/>
      <c r="C550" s="447"/>
      <c r="D550" s="486"/>
      <c r="E550" s="442"/>
      <c r="F550" s="442"/>
      <c r="G550" s="486"/>
      <c r="H550" s="486"/>
    </row>
    <row r="551" spans="1:8" ht="12.75" customHeight="1">
      <c r="A551" s="480">
        <v>1</v>
      </c>
      <c r="B551" s="481"/>
      <c r="C551" s="182">
        <v>2</v>
      </c>
      <c r="D551" s="183">
        <v>3</v>
      </c>
      <c r="E551" s="183">
        <v>4</v>
      </c>
      <c r="F551" s="183">
        <v>5</v>
      </c>
      <c r="G551" s="183" t="s">
        <v>51</v>
      </c>
      <c r="H551" s="183" t="s">
        <v>52</v>
      </c>
    </row>
    <row r="552" spans="1:8" ht="26.25" customHeight="1">
      <c r="A552" s="264" t="s">
        <v>258</v>
      </c>
      <c r="B552" s="265" t="s">
        <v>194</v>
      </c>
      <c r="C552" s="266">
        <v>1074425</v>
      </c>
      <c r="D552" s="267">
        <v>925620</v>
      </c>
      <c r="E552" s="266">
        <v>1143290</v>
      </c>
      <c r="F552" s="323">
        <f>F492+F479+F465+F446+F382+F332+F310+F210+F192+F170</f>
        <v>1086497.25</v>
      </c>
      <c r="G552" s="268">
        <f>F552/C552*100</f>
        <v>101.12360099588152</v>
      </c>
      <c r="H552" s="268">
        <f>C552/E552*100</f>
        <v>93.9765938650736</v>
      </c>
    </row>
    <row r="553" spans="1:8" s="309" customFormat="1" ht="15">
      <c r="A553" s="201" t="s">
        <v>193</v>
      </c>
      <c r="B553" s="96" t="s">
        <v>22</v>
      </c>
      <c r="C553" s="96">
        <v>8754</v>
      </c>
      <c r="D553" s="226">
        <v>42005</v>
      </c>
      <c r="E553" s="96">
        <v>42005</v>
      </c>
      <c r="F553" s="98">
        <f>F362</f>
        <v>18628.049999999996</v>
      </c>
      <c r="G553" s="18">
        <f>F553/C553*100</f>
        <v>212.79472241261135</v>
      </c>
      <c r="H553" s="18">
        <f>C553/E553*100</f>
        <v>20.84037614569694</v>
      </c>
    </row>
    <row r="554" spans="1:8" s="311" customFormat="1" ht="15">
      <c r="A554" s="201"/>
      <c r="B554" s="96" t="s">
        <v>225</v>
      </c>
      <c r="C554" s="96">
        <v>0</v>
      </c>
      <c r="D554" s="226">
        <v>18000</v>
      </c>
      <c r="E554" s="96">
        <v>29000</v>
      </c>
      <c r="F554" s="98">
        <v>0</v>
      </c>
      <c r="G554" s="18">
        <v>0</v>
      </c>
      <c r="H554" s="18"/>
    </row>
    <row r="555" spans="1:8" s="311" customFormat="1" ht="15">
      <c r="A555" s="201" t="s">
        <v>190</v>
      </c>
      <c r="B555" s="96" t="s">
        <v>189</v>
      </c>
      <c r="C555" s="18">
        <v>103659</v>
      </c>
      <c r="D555" s="199">
        <v>130000</v>
      </c>
      <c r="E555" s="18">
        <v>130000</v>
      </c>
      <c r="F555" s="98">
        <f>F238</f>
        <v>127324.83</v>
      </c>
      <c r="G555" s="18">
        <f aca="true" t="shared" si="47" ref="G555:G562">F555/C555*100</f>
        <v>122.83046334616388</v>
      </c>
      <c r="H555" s="18">
        <f>C555/E555*100</f>
        <v>79.73769230769231</v>
      </c>
    </row>
    <row r="556" spans="1:8" s="311" customFormat="1" ht="15">
      <c r="A556" s="201"/>
      <c r="B556" s="96" t="s">
        <v>234</v>
      </c>
      <c r="C556" s="18">
        <v>0</v>
      </c>
      <c r="D556" s="199">
        <v>29000</v>
      </c>
      <c r="E556" s="18">
        <v>18000</v>
      </c>
      <c r="F556" s="98">
        <v>0</v>
      </c>
      <c r="G556" s="18">
        <v>0</v>
      </c>
      <c r="H556" s="18"/>
    </row>
    <row r="557" spans="1:8" s="311" customFormat="1" ht="15">
      <c r="A557" s="201">
        <v>5</v>
      </c>
      <c r="B557" s="96" t="s">
        <v>23</v>
      </c>
      <c r="C557" s="18">
        <f>SUM(C558:C562)</f>
        <v>6863660</v>
      </c>
      <c r="D557" s="18">
        <f>SUM(D558:D562)</f>
        <v>6578360</v>
      </c>
      <c r="E557" s="18">
        <f>SUM(E558:E562)</f>
        <v>7135510</v>
      </c>
      <c r="F557" s="18">
        <f>SUM(F558:F562)</f>
        <v>7408421.210000001</v>
      </c>
      <c r="G557" s="18">
        <f t="shared" si="47"/>
        <v>107.93689095905101</v>
      </c>
      <c r="H557" s="18">
        <f>C557/E557*100</f>
        <v>96.1901812204033</v>
      </c>
    </row>
    <row r="558" spans="1:8" s="311" customFormat="1" ht="15">
      <c r="A558" s="201" t="s">
        <v>196</v>
      </c>
      <c r="B558" s="96" t="s">
        <v>195</v>
      </c>
      <c r="C558" s="18">
        <v>0</v>
      </c>
      <c r="D558" s="199">
        <v>165000</v>
      </c>
      <c r="E558" s="18">
        <v>40950</v>
      </c>
      <c r="F558" s="98">
        <f>F408</f>
        <v>106257.78</v>
      </c>
      <c r="G558" s="18">
        <v>0</v>
      </c>
      <c r="H558" s="18">
        <f>C558/E558*100</f>
        <v>0</v>
      </c>
    </row>
    <row r="559" spans="1:8" s="311" customFormat="1" ht="15">
      <c r="A559" s="201"/>
      <c r="B559" s="96" t="s">
        <v>233</v>
      </c>
      <c r="C559" s="18"/>
      <c r="D559" s="199"/>
      <c r="E559" s="18">
        <v>99000</v>
      </c>
      <c r="F559" s="98">
        <v>0</v>
      </c>
      <c r="G559" s="18">
        <v>0</v>
      </c>
      <c r="H559" s="18"/>
    </row>
    <row r="560" spans="1:8" s="311" customFormat="1" ht="15">
      <c r="A560" s="201" t="s">
        <v>188</v>
      </c>
      <c r="B560" s="96" t="s">
        <v>187</v>
      </c>
      <c r="C560" s="18">
        <v>6862291</v>
      </c>
      <c r="D560" s="199">
        <v>6410000</v>
      </c>
      <c r="E560" s="18">
        <v>6992200</v>
      </c>
      <c r="F560" s="98">
        <f>F524+F320</f>
        <v>7299031.430000001</v>
      </c>
      <c r="G560" s="18">
        <f t="shared" si="47"/>
        <v>106.36435310015271</v>
      </c>
      <c r="H560" s="18">
        <f>C560/E560*100</f>
        <v>98.14208689682789</v>
      </c>
    </row>
    <row r="561" spans="1:8" s="311" customFormat="1" ht="15">
      <c r="A561" s="201" t="s">
        <v>255</v>
      </c>
      <c r="B561" s="96" t="s">
        <v>256</v>
      </c>
      <c r="C561" s="18"/>
      <c r="D561" s="199"/>
      <c r="E561" s="18">
        <v>1360</v>
      </c>
      <c r="F561" s="98">
        <v>340</v>
      </c>
      <c r="G561" s="18"/>
      <c r="H561" s="18"/>
    </row>
    <row r="562" spans="1:8" s="311" customFormat="1" ht="15">
      <c r="A562" s="201" t="s">
        <v>192</v>
      </c>
      <c r="B562" s="96" t="s">
        <v>191</v>
      </c>
      <c r="C562" s="18">
        <v>1369</v>
      </c>
      <c r="D562" s="199">
        <v>3360</v>
      </c>
      <c r="E562" s="18">
        <v>2000</v>
      </c>
      <c r="F562" s="98">
        <f>F261</f>
        <v>2792</v>
      </c>
      <c r="G562" s="18">
        <f t="shared" si="47"/>
        <v>203.9444850255661</v>
      </c>
      <c r="H562" s="18">
        <f>C562/E562*100</f>
        <v>68.45</v>
      </c>
    </row>
    <row r="563" spans="1:8" s="311" customFormat="1" ht="15">
      <c r="A563" s="313"/>
      <c r="B563" s="52"/>
      <c r="C563" s="49"/>
      <c r="D563" s="68"/>
      <c r="E563" s="49"/>
      <c r="F563" s="200"/>
      <c r="G563" s="18">
        <v>0</v>
      </c>
      <c r="H563" s="49"/>
    </row>
    <row r="564" spans="1:8" s="312" customFormat="1" ht="15">
      <c r="A564" s="498" t="s">
        <v>88</v>
      </c>
      <c r="B564" s="499"/>
      <c r="C564" s="187">
        <f>C552+C553+C555+C557</f>
        <v>8050498</v>
      </c>
      <c r="D564" s="187">
        <f>+D552+D553+D555+D557+D554+D556</f>
        <v>7722985</v>
      </c>
      <c r="E564" s="187">
        <f>+E552+E553+E555+E557+E554+E556</f>
        <v>8497805</v>
      </c>
      <c r="F564" s="187">
        <f>+F552+F553+F555+F557+F558+F560+F562-F557+F561</f>
        <v>8640871.34</v>
      </c>
      <c r="G564" s="82">
        <f>F564/C564*100</f>
        <v>107.33337664328344</v>
      </c>
      <c r="H564" s="82">
        <f>F564/E564*100</f>
        <v>101.68356816848585</v>
      </c>
    </row>
    <row r="565" spans="3:6" ht="15">
      <c r="C565" s="70"/>
      <c r="D565" s="70"/>
      <c r="E565" s="70"/>
      <c r="F565" s="70"/>
    </row>
    <row r="566" ht="15">
      <c r="G566" s="30"/>
    </row>
    <row r="567" spans="1:7" ht="20.25">
      <c r="A567" s="490" t="s">
        <v>49</v>
      </c>
      <c r="B567" s="490"/>
      <c r="C567" s="490"/>
      <c r="D567" s="490"/>
      <c r="E567" s="490"/>
      <c r="F567" s="490"/>
      <c r="G567" s="490"/>
    </row>
    <row r="569" spans="1:8" ht="15">
      <c r="A569" s="505" t="s">
        <v>45</v>
      </c>
      <c r="B569" s="507" t="s">
        <v>46</v>
      </c>
      <c r="C569" s="446" t="s">
        <v>235</v>
      </c>
      <c r="D569" s="441" t="s">
        <v>132</v>
      </c>
      <c r="E569" s="441" t="s">
        <v>226</v>
      </c>
      <c r="F569" s="441" t="s">
        <v>241</v>
      </c>
      <c r="G569" s="441" t="s">
        <v>50</v>
      </c>
      <c r="H569" s="441" t="s">
        <v>50</v>
      </c>
    </row>
    <row r="570" spans="1:8" ht="15" customHeight="1">
      <c r="A570" s="506"/>
      <c r="B570" s="508"/>
      <c r="C570" s="447"/>
      <c r="D570" s="442"/>
      <c r="E570" s="442"/>
      <c r="F570" s="442"/>
      <c r="G570" s="442"/>
      <c r="H570" s="442"/>
    </row>
    <row r="571" spans="1:8" ht="12.75" customHeight="1">
      <c r="A571" s="460">
        <v>1</v>
      </c>
      <c r="B571" s="461"/>
      <c r="C571" s="58">
        <v>2</v>
      </c>
      <c r="D571" s="59">
        <v>3</v>
      </c>
      <c r="E571" s="59">
        <v>4</v>
      </c>
      <c r="F571" s="59">
        <v>5</v>
      </c>
      <c r="G571" s="59" t="s">
        <v>51</v>
      </c>
      <c r="H571" s="59" t="s">
        <v>52</v>
      </c>
    </row>
    <row r="572" spans="1:8" ht="15">
      <c r="A572" s="39" t="s">
        <v>246</v>
      </c>
      <c r="B572" s="40" t="s">
        <v>194</v>
      </c>
      <c r="C572" s="41"/>
      <c r="D572" s="41"/>
      <c r="E572" s="41"/>
      <c r="F572" s="324"/>
      <c r="G572" s="134"/>
      <c r="H572" s="135"/>
    </row>
    <row r="573" spans="1:8" ht="15">
      <c r="A573" s="73"/>
      <c r="B573" s="74" t="s">
        <v>41</v>
      </c>
      <c r="C573" s="75">
        <f>C90</f>
        <v>1171367</v>
      </c>
      <c r="D573" s="75">
        <f>D90</f>
        <v>925620</v>
      </c>
      <c r="E573" s="75">
        <f>E90</f>
        <v>1143290</v>
      </c>
      <c r="F573" s="325">
        <f>F90</f>
        <v>1134827.97</v>
      </c>
      <c r="G573" s="134">
        <f>F573/C573*100</f>
        <v>96.88065055614508</v>
      </c>
      <c r="H573" s="135">
        <f>F573/E573*100</f>
        <v>99.25985270578768</v>
      </c>
    </row>
    <row r="574" spans="1:8" ht="15">
      <c r="A574" s="76"/>
      <c r="B574" s="77" t="s">
        <v>42</v>
      </c>
      <c r="C574" s="78">
        <f>C552</f>
        <v>1074425</v>
      </c>
      <c r="D574" s="78">
        <f>D552</f>
        <v>925620</v>
      </c>
      <c r="E574" s="78">
        <f>E552</f>
        <v>1143290</v>
      </c>
      <c r="F574" s="326">
        <f>F552</f>
        <v>1086497.25</v>
      </c>
      <c r="G574" s="134">
        <f>F574/C574*100</f>
        <v>101.12360099588152</v>
      </c>
      <c r="H574" s="135">
        <f>F574/E574*100</f>
        <v>95.03251580963709</v>
      </c>
    </row>
    <row r="575" spans="1:8" ht="15">
      <c r="A575" s="454" t="s">
        <v>85</v>
      </c>
      <c r="B575" s="455"/>
      <c r="C575" s="72">
        <f>C573-C574</f>
        <v>96942</v>
      </c>
      <c r="D575" s="72">
        <f>D573-D574</f>
        <v>0</v>
      </c>
      <c r="E575" s="72">
        <f>E573-E574</f>
        <v>0</v>
      </c>
      <c r="F575" s="327">
        <f>F573-F574</f>
        <v>48330.71999999997</v>
      </c>
      <c r="G575" s="134">
        <f>F575/C575*100</f>
        <v>49.8552949186111</v>
      </c>
      <c r="H575" s="135" t="e">
        <f>F575/E575*100</f>
        <v>#DIV/0!</v>
      </c>
    </row>
    <row r="576" spans="1:8" ht="15">
      <c r="A576" s="39" t="s">
        <v>198</v>
      </c>
      <c r="B576" s="40" t="s">
        <v>22</v>
      </c>
      <c r="C576" s="44"/>
      <c r="D576" s="44"/>
      <c r="E576" s="44"/>
      <c r="F576" s="328"/>
      <c r="G576" s="134"/>
      <c r="H576" s="135"/>
    </row>
    <row r="577" spans="1:8" ht="15">
      <c r="A577" s="73"/>
      <c r="B577" s="74" t="s">
        <v>41</v>
      </c>
      <c r="C577" s="75">
        <v>3010</v>
      </c>
      <c r="D577" s="75">
        <v>42005</v>
      </c>
      <c r="E577" s="75">
        <v>42005</v>
      </c>
      <c r="F577" s="325">
        <f>F35</f>
        <v>37780.53</v>
      </c>
      <c r="G577" s="134">
        <f>F577/C577*100</f>
        <v>1255.1671096345515</v>
      </c>
      <c r="H577" s="135">
        <f>F577/E577*100</f>
        <v>89.94293536483752</v>
      </c>
    </row>
    <row r="578" spans="1:8" ht="15">
      <c r="A578" s="76"/>
      <c r="B578" s="77" t="s">
        <v>42</v>
      </c>
      <c r="C578" s="78">
        <f>C553</f>
        <v>8754</v>
      </c>
      <c r="D578" s="78">
        <f>D553</f>
        <v>42005</v>
      </c>
      <c r="E578" s="78">
        <f>E553</f>
        <v>42005</v>
      </c>
      <c r="F578" s="326">
        <f>F553</f>
        <v>18628.049999999996</v>
      </c>
      <c r="G578" s="134">
        <f>F578/C578*100</f>
        <v>212.79472241261135</v>
      </c>
      <c r="H578" s="135">
        <f>F578/E578*100</f>
        <v>44.34722056897987</v>
      </c>
    </row>
    <row r="579" spans="1:8" ht="15">
      <c r="A579" s="454" t="s">
        <v>86</v>
      </c>
      <c r="B579" s="455"/>
      <c r="C579" s="72">
        <f>C577-C578</f>
        <v>-5744</v>
      </c>
      <c r="D579" s="72">
        <f>D577-D578</f>
        <v>0</v>
      </c>
      <c r="E579" s="72">
        <f>E577-E578</f>
        <v>0</v>
      </c>
      <c r="F579" s="327">
        <f>F577-F578</f>
        <v>19152.480000000003</v>
      </c>
      <c r="G579" s="134">
        <v>39</v>
      </c>
      <c r="H579" s="135" t="e">
        <f>F579/E579*100</f>
        <v>#DIV/0!</v>
      </c>
    </row>
    <row r="580" spans="1:8" ht="15">
      <c r="A580" s="39" t="s">
        <v>217</v>
      </c>
      <c r="B580" s="40" t="s">
        <v>189</v>
      </c>
      <c r="C580" s="41"/>
      <c r="D580" s="41"/>
      <c r="E580" s="41"/>
      <c r="F580" s="324"/>
      <c r="G580" s="134"/>
      <c r="H580" s="135"/>
    </row>
    <row r="581" spans="1:8" ht="15">
      <c r="A581" s="73"/>
      <c r="B581" s="74" t="s">
        <v>41</v>
      </c>
      <c r="C581" s="75">
        <v>89693</v>
      </c>
      <c r="D581" s="75">
        <v>130000</v>
      </c>
      <c r="E581" s="75">
        <v>130000</v>
      </c>
      <c r="F581" s="325">
        <f>F44</f>
        <v>138171</v>
      </c>
      <c r="G581" s="134">
        <f>F581/C581*100</f>
        <v>154.04881094399784</v>
      </c>
      <c r="H581" s="135">
        <f>F581/E581*100</f>
        <v>106.28538461538461</v>
      </c>
    </row>
    <row r="582" spans="1:8" ht="15">
      <c r="A582" s="76"/>
      <c r="B582" s="77" t="s">
        <v>42</v>
      </c>
      <c r="C582" s="78">
        <f>C555</f>
        <v>103659</v>
      </c>
      <c r="D582" s="78">
        <f>D555</f>
        <v>130000</v>
      </c>
      <c r="E582" s="78">
        <f>E555</f>
        <v>130000</v>
      </c>
      <c r="F582" s="326">
        <f>F555</f>
        <v>127324.83</v>
      </c>
      <c r="G582" s="134">
        <f>F582/C582*100</f>
        <v>122.83046334616388</v>
      </c>
      <c r="H582" s="135">
        <f>F582/E582*100</f>
        <v>97.94217692307693</v>
      </c>
    </row>
    <row r="583" spans="1:8" ht="15">
      <c r="A583" s="454" t="s">
        <v>86</v>
      </c>
      <c r="B583" s="455"/>
      <c r="C583" s="72">
        <f>C581-C582</f>
        <v>-13966</v>
      </c>
      <c r="D583" s="72">
        <f>D581-D582</f>
        <v>0</v>
      </c>
      <c r="E583" s="72">
        <f>E581-E582</f>
        <v>0</v>
      </c>
      <c r="F583" s="327">
        <f>F581-F582</f>
        <v>10846.169999999998</v>
      </c>
      <c r="G583" s="134">
        <v>91</v>
      </c>
      <c r="H583" s="135">
        <v>79</v>
      </c>
    </row>
    <row r="584" spans="1:8" ht="15">
      <c r="A584" s="39" t="s">
        <v>218</v>
      </c>
      <c r="B584" s="40" t="s">
        <v>195</v>
      </c>
      <c r="C584" s="41"/>
      <c r="D584" s="41"/>
      <c r="E584" s="41"/>
      <c r="F584" s="324"/>
      <c r="G584" s="134"/>
      <c r="H584" s="135"/>
    </row>
    <row r="585" spans="1:8" ht="15">
      <c r="A585" s="45"/>
      <c r="B585" s="37" t="s">
        <v>41</v>
      </c>
      <c r="C585" s="38">
        <v>0</v>
      </c>
      <c r="D585" s="38">
        <v>165000</v>
      </c>
      <c r="E585" s="38">
        <v>40950</v>
      </c>
      <c r="F585" s="329">
        <v>0</v>
      </c>
      <c r="G585" s="134" t="e">
        <f>F585/C585*100</f>
        <v>#DIV/0!</v>
      </c>
      <c r="H585" s="135">
        <f>F585/E585*100</f>
        <v>0</v>
      </c>
    </row>
    <row r="586" spans="1:8" ht="15">
      <c r="A586" s="46"/>
      <c r="B586" s="42" t="s">
        <v>42</v>
      </c>
      <c r="C586" s="43">
        <f>C558</f>
        <v>0</v>
      </c>
      <c r="D586" s="43">
        <f>D558</f>
        <v>165000</v>
      </c>
      <c r="E586" s="43">
        <f>E558</f>
        <v>40950</v>
      </c>
      <c r="F586" s="330">
        <f>F558</f>
        <v>106257.78</v>
      </c>
      <c r="G586" s="110" t="e">
        <f>F586/C586*100</f>
        <v>#DIV/0!</v>
      </c>
      <c r="H586" s="111">
        <f>F586/E586*100</f>
        <v>259.48175824175826</v>
      </c>
    </row>
    <row r="587" spans="1:8" ht="15">
      <c r="A587" s="454" t="s">
        <v>86</v>
      </c>
      <c r="B587" s="455"/>
      <c r="C587" s="278">
        <f>C585-C586</f>
        <v>0</v>
      </c>
      <c r="D587" s="278">
        <f>D585-D586</f>
        <v>0</v>
      </c>
      <c r="E587" s="278">
        <f>E585-E586</f>
        <v>0</v>
      </c>
      <c r="F587" s="331">
        <f>F585-F586</f>
        <v>-106257.78</v>
      </c>
      <c r="G587" s="279" t="e">
        <f>F587/C587*100</f>
        <v>#DIV/0!</v>
      </c>
      <c r="H587" s="280" t="e">
        <f>F587/E587*100</f>
        <v>#DIV/0!</v>
      </c>
    </row>
    <row r="588" spans="1:8" ht="15">
      <c r="A588" s="39" t="s">
        <v>188</v>
      </c>
      <c r="B588" s="281" t="s">
        <v>187</v>
      </c>
      <c r="C588" s="41"/>
      <c r="D588" s="41"/>
      <c r="E588" s="41"/>
      <c r="F588" s="324"/>
      <c r="G588" s="279"/>
      <c r="H588" s="280"/>
    </row>
    <row r="589" spans="1:8" ht="15">
      <c r="A589" s="45"/>
      <c r="B589" s="37" t="s">
        <v>41</v>
      </c>
      <c r="C589" s="38">
        <v>6861652</v>
      </c>
      <c r="D589" s="38">
        <v>6410000</v>
      </c>
      <c r="E589" s="38">
        <v>6992200</v>
      </c>
      <c r="F589" s="329">
        <v>7297575.91</v>
      </c>
      <c r="G589" s="134">
        <f>F589/C589*100</f>
        <v>106.35304603031457</v>
      </c>
      <c r="H589" s="135">
        <f>F589/E589*100</f>
        <v>104.36737950859529</v>
      </c>
    </row>
    <row r="590" spans="1:8" ht="15">
      <c r="A590" s="46"/>
      <c r="B590" s="42" t="s">
        <v>42</v>
      </c>
      <c r="C590" s="43">
        <f>C560</f>
        <v>6862291</v>
      </c>
      <c r="D590" s="43">
        <f>D560</f>
        <v>6410000</v>
      </c>
      <c r="E590" s="43">
        <f>E560</f>
        <v>6992200</v>
      </c>
      <c r="F590" s="330">
        <f>F560</f>
        <v>7299031.430000001</v>
      </c>
      <c r="G590" s="110">
        <f>F590/C590*100</f>
        <v>106.36435310015271</v>
      </c>
      <c r="H590" s="111">
        <f>F590/E590*100</f>
        <v>104.38819584680073</v>
      </c>
    </row>
    <row r="591" spans="1:8" ht="15">
      <c r="A591" s="454" t="s">
        <v>86</v>
      </c>
      <c r="B591" s="455"/>
      <c r="C591" s="278">
        <f>C589-C590</f>
        <v>-639</v>
      </c>
      <c r="D591" s="278">
        <f>D589-D590</f>
        <v>0</v>
      </c>
      <c r="E591" s="278">
        <f>E589-E590</f>
        <v>0</v>
      </c>
      <c r="F591" s="331">
        <f>F589-F590</f>
        <v>-1455.5200000004843</v>
      </c>
      <c r="G591" s="279">
        <f>F591/C591*100</f>
        <v>227.7809076683074</v>
      </c>
      <c r="H591" s="280" t="e">
        <f>F591/E591*100</f>
        <v>#DIV/0!</v>
      </c>
    </row>
    <row r="592" spans="1:8" ht="15">
      <c r="A592" s="39" t="s">
        <v>255</v>
      </c>
      <c r="B592" s="281" t="s">
        <v>256</v>
      </c>
      <c r="C592" s="41"/>
      <c r="D592" s="41"/>
      <c r="E592" s="41"/>
      <c r="F592" s="324"/>
      <c r="G592" s="279"/>
      <c r="H592" s="280"/>
    </row>
    <row r="593" spans="1:8" ht="15">
      <c r="A593" s="45"/>
      <c r="B593" s="37" t="s">
        <v>41</v>
      </c>
      <c r="C593" s="38">
        <f>C51</f>
        <v>0</v>
      </c>
      <c r="D593" s="38">
        <f>D51</f>
        <v>1360</v>
      </c>
      <c r="E593" s="38">
        <f>E51</f>
        <v>1360</v>
      </c>
      <c r="F593" s="38">
        <f>F51</f>
        <v>340</v>
      </c>
      <c r="G593" s="134" t="e">
        <f>F593/C593*100</f>
        <v>#DIV/0!</v>
      </c>
      <c r="H593" s="135">
        <f>F593/E593*100</f>
        <v>25</v>
      </c>
    </row>
    <row r="594" spans="1:8" ht="15">
      <c r="A594" s="46"/>
      <c r="B594" s="42" t="s">
        <v>42</v>
      </c>
      <c r="C594" s="78">
        <f>C248</f>
        <v>0</v>
      </c>
      <c r="D594" s="78">
        <f>D248</f>
        <v>1360</v>
      </c>
      <c r="E594" s="78">
        <f>E248</f>
        <v>1360</v>
      </c>
      <c r="F594" s="78">
        <f>F248</f>
        <v>339.99</v>
      </c>
      <c r="G594" s="134" t="e">
        <f>F594/C594*100</f>
        <v>#DIV/0!</v>
      </c>
      <c r="H594" s="135">
        <f>F594/E594*100</f>
        <v>24.999264705882354</v>
      </c>
    </row>
    <row r="595" spans="1:8" ht="15">
      <c r="A595" s="454" t="s">
        <v>86</v>
      </c>
      <c r="B595" s="455"/>
      <c r="C595" s="72">
        <f>C593-C594</f>
        <v>0</v>
      </c>
      <c r="D595" s="72">
        <f>D593-D594</f>
        <v>0</v>
      </c>
      <c r="E595" s="72">
        <f>E593-E594</f>
        <v>0</v>
      </c>
      <c r="F595" s="72">
        <f>F593-F594</f>
        <v>0.009999999999990905</v>
      </c>
      <c r="G595" s="134">
        <v>0</v>
      </c>
      <c r="H595" s="135" t="e">
        <f>F595/E595*100</f>
        <v>#DIV/0!</v>
      </c>
    </row>
    <row r="596" spans="1:8" ht="15">
      <c r="A596" s="454"/>
      <c r="B596" s="455"/>
      <c r="C596" s="72"/>
      <c r="D596" s="72"/>
      <c r="E596" s="72"/>
      <c r="F596" s="72"/>
      <c r="G596" s="134"/>
      <c r="H596" s="135"/>
    </row>
    <row r="597" spans="1:8" ht="15">
      <c r="A597" s="39" t="s">
        <v>219</v>
      </c>
      <c r="B597" s="281" t="s">
        <v>191</v>
      </c>
      <c r="C597" s="41"/>
      <c r="D597" s="41"/>
      <c r="E597" s="41"/>
      <c r="F597" s="41"/>
      <c r="G597" s="279"/>
      <c r="H597" s="280"/>
    </row>
    <row r="598" spans="1:8" ht="15">
      <c r="A598" s="45"/>
      <c r="B598" s="37" t="s">
        <v>41</v>
      </c>
      <c r="C598" s="38">
        <v>4081</v>
      </c>
      <c r="D598" s="38">
        <v>3360</v>
      </c>
      <c r="E598" s="38">
        <v>2000</v>
      </c>
      <c r="F598" s="38">
        <f>F63</f>
        <v>1985</v>
      </c>
      <c r="G598" s="134">
        <f>F598/C598*100</f>
        <v>48.64003920607694</v>
      </c>
      <c r="H598" s="135">
        <f>F598/E598*100</f>
        <v>99.25</v>
      </c>
    </row>
    <row r="599" spans="1:8" ht="15">
      <c r="A599" s="46"/>
      <c r="B599" s="42" t="s">
        <v>42</v>
      </c>
      <c r="C599" s="78">
        <f>C562</f>
        <v>1369</v>
      </c>
      <c r="D599" s="78">
        <f>D567</f>
        <v>0</v>
      </c>
      <c r="E599" s="78">
        <f>E562</f>
        <v>2000</v>
      </c>
      <c r="F599" s="78">
        <f>F261</f>
        <v>2792</v>
      </c>
      <c r="G599" s="134">
        <f>F599/C599*100</f>
        <v>203.9444850255661</v>
      </c>
      <c r="H599" s="135">
        <f>F599/E599*100</f>
        <v>139.6</v>
      </c>
    </row>
    <row r="600" spans="1:8" ht="15">
      <c r="A600" s="454" t="s">
        <v>86</v>
      </c>
      <c r="B600" s="455"/>
      <c r="C600" s="72">
        <f>C598-C599</f>
        <v>2712</v>
      </c>
      <c r="D600" s="72">
        <f>D598-D599</f>
        <v>3360</v>
      </c>
      <c r="E600" s="72">
        <f>E598-E599</f>
        <v>0</v>
      </c>
      <c r="F600" s="72">
        <f>F598-F599</f>
        <v>-807</v>
      </c>
      <c r="G600" s="134">
        <v>0</v>
      </c>
      <c r="H600" s="135" t="e">
        <f>F600/E600*100</f>
        <v>#DIV/0!</v>
      </c>
    </row>
    <row r="601" spans="1:8" ht="15">
      <c r="A601" s="454"/>
      <c r="B601" s="455"/>
      <c r="C601" s="72"/>
      <c r="D601" s="72"/>
      <c r="E601" s="72"/>
      <c r="F601" s="72"/>
      <c r="G601" s="134"/>
      <c r="H601" s="135"/>
    </row>
    <row r="602" spans="1:8" ht="15">
      <c r="A602" s="503" t="s">
        <v>43</v>
      </c>
      <c r="B602" s="504"/>
      <c r="C602" s="159">
        <f>C573+C577+C581+C585+C589+C593+C598</f>
        <v>8129803</v>
      </c>
      <c r="D602" s="159">
        <f>D573+D577+D581+D585+D589+D593</f>
        <v>7673985</v>
      </c>
      <c r="E602" s="159">
        <f>E573+E577+E581+E585+E589+E593+E598</f>
        <v>8351805</v>
      </c>
      <c r="F602" s="159">
        <f>F573+F577+F581+F585+F589+F593+F598</f>
        <v>8610680.41</v>
      </c>
      <c r="G602" s="6">
        <f>F602/C602*100</f>
        <v>105.91499461918082</v>
      </c>
      <c r="H602" s="6">
        <f>F602/E602*100</f>
        <v>103.09963427067564</v>
      </c>
    </row>
    <row r="603" spans="1:8" ht="15">
      <c r="A603" s="503" t="s">
        <v>44</v>
      </c>
      <c r="B603" s="504"/>
      <c r="C603" s="159">
        <f>C574+C578+C582+C586+C590+C594+C599</f>
        <v>8050498</v>
      </c>
      <c r="D603" s="159">
        <f>D574+D578+D582+D586+D590+D594</f>
        <v>7673985</v>
      </c>
      <c r="E603" s="159">
        <f>E574+E578+E582+E586+E590+E594+E599</f>
        <v>8351805</v>
      </c>
      <c r="F603" s="159">
        <f>F574+F578+F582+F586+F590+F594+F599</f>
        <v>8640871.33</v>
      </c>
      <c r="G603" s="6">
        <f>F603/C603*100</f>
        <v>107.33337651906751</v>
      </c>
      <c r="H603" s="6">
        <f>F603/E603*100</f>
        <v>103.46112403246963</v>
      </c>
    </row>
    <row r="604" spans="4:6" ht="15">
      <c r="D604" s="2"/>
      <c r="E604" s="2"/>
      <c r="F604" s="2"/>
    </row>
    <row r="607" spans="1:6" ht="15">
      <c r="A607" s="2" t="s">
        <v>224</v>
      </c>
      <c r="B607" s="2" t="s">
        <v>257</v>
      </c>
      <c r="F607" s="10" t="s">
        <v>131</v>
      </c>
    </row>
    <row r="609" spans="6:7" ht="15">
      <c r="F609" s="167"/>
      <c r="G609" s="167"/>
    </row>
    <row r="611" spans="4:7" ht="15">
      <c r="D611" s="2"/>
      <c r="E611" s="2"/>
      <c r="F611" s="10" t="s">
        <v>223</v>
      </c>
      <c r="G611" s="2"/>
    </row>
  </sheetData>
  <sheetProtection/>
  <mergeCells count="401">
    <mergeCell ref="F102:F103"/>
    <mergeCell ref="B87:B88"/>
    <mergeCell ref="A53:B53"/>
    <mergeCell ref="A50:B50"/>
    <mergeCell ref="D48:D49"/>
    <mergeCell ref="E48:E49"/>
    <mergeCell ref="F48:F49"/>
    <mergeCell ref="D67:D68"/>
    <mergeCell ref="E67:E68"/>
    <mergeCell ref="F67:F68"/>
    <mergeCell ref="G48:G49"/>
    <mergeCell ref="G67:G68"/>
    <mergeCell ref="G57:G58"/>
    <mergeCell ref="A57:A58"/>
    <mergeCell ref="L41:L42"/>
    <mergeCell ref="M41:M42"/>
    <mergeCell ref="A44:B44"/>
    <mergeCell ref="A67:A68"/>
    <mergeCell ref="B67:B68"/>
    <mergeCell ref="C67:C68"/>
    <mergeCell ref="I41:I42"/>
    <mergeCell ref="J41:J42"/>
    <mergeCell ref="K41:K42"/>
    <mergeCell ref="A39:A40"/>
    <mergeCell ref="B39:B40"/>
    <mergeCell ref="C39:C40"/>
    <mergeCell ref="D39:D40"/>
    <mergeCell ref="F39:F40"/>
    <mergeCell ref="B57:B58"/>
    <mergeCell ref="A69:B69"/>
    <mergeCell ref="A72:B72"/>
    <mergeCell ref="G39:G40"/>
    <mergeCell ref="H39:H40"/>
    <mergeCell ref="A41:B41"/>
    <mergeCell ref="A48:A49"/>
    <mergeCell ref="B48:B49"/>
    <mergeCell ref="C48:C49"/>
    <mergeCell ref="A59:B59"/>
    <mergeCell ref="H48:H49"/>
    <mergeCell ref="B26:B27"/>
    <mergeCell ref="F16:F17"/>
    <mergeCell ref="A26:A27"/>
    <mergeCell ref="A22:B22"/>
    <mergeCell ref="E39:E40"/>
    <mergeCell ref="A28:B28"/>
    <mergeCell ref="D26:D27"/>
    <mergeCell ref="E26:E27"/>
    <mergeCell ref="G26:G27"/>
    <mergeCell ref="C57:C58"/>
    <mergeCell ref="D57:D58"/>
    <mergeCell ref="A8:B8"/>
    <mergeCell ref="F110:F111"/>
    <mergeCell ref="G110:G111"/>
    <mergeCell ref="F26:F27"/>
    <mergeCell ref="F57:F58"/>
    <mergeCell ref="E87:E88"/>
    <mergeCell ref="F87:F88"/>
    <mergeCell ref="A76:B76"/>
    <mergeCell ref="H110:H111"/>
    <mergeCell ref="D110:D111"/>
    <mergeCell ref="E102:E103"/>
    <mergeCell ref="H102:H103"/>
    <mergeCell ref="A102:A103"/>
    <mergeCell ref="D16:D17"/>
    <mergeCell ref="B102:B103"/>
    <mergeCell ref="D102:D103"/>
    <mergeCell ref="C110:C111"/>
    <mergeCell ref="E57:E58"/>
    <mergeCell ref="A602:B602"/>
    <mergeCell ref="A569:A570"/>
    <mergeCell ref="G569:G570"/>
    <mergeCell ref="B569:B570"/>
    <mergeCell ref="A603:B603"/>
    <mergeCell ref="A596:B596"/>
    <mergeCell ref="A601:B601"/>
    <mergeCell ref="A583:B583"/>
    <mergeCell ref="A587:B587"/>
    <mergeCell ref="A595:B595"/>
    <mergeCell ref="C26:C27"/>
    <mergeCell ref="H26:H27"/>
    <mergeCell ref="E16:E17"/>
    <mergeCell ref="G16:G17"/>
    <mergeCell ref="H16:H17"/>
    <mergeCell ref="A16:A17"/>
    <mergeCell ref="B16:B17"/>
    <mergeCell ref="C16:C17"/>
    <mergeCell ref="D6:D7"/>
    <mergeCell ref="E6:E7"/>
    <mergeCell ref="F6:F7"/>
    <mergeCell ref="H6:H7"/>
    <mergeCell ref="C6:C7"/>
    <mergeCell ref="G6:G7"/>
    <mergeCell ref="A1:G1"/>
    <mergeCell ref="A137:A138"/>
    <mergeCell ref="B137:B138"/>
    <mergeCell ref="D137:D138"/>
    <mergeCell ref="A115:B115"/>
    <mergeCell ref="A18:B18"/>
    <mergeCell ref="A3:G3"/>
    <mergeCell ref="A6:A7"/>
    <mergeCell ref="A12:B12"/>
    <mergeCell ref="B6:B7"/>
    <mergeCell ref="A564:B564"/>
    <mergeCell ref="G102:G103"/>
    <mergeCell ref="A35:B35"/>
    <mergeCell ref="A89:B89"/>
    <mergeCell ref="A170:B170"/>
    <mergeCell ref="A110:A111"/>
    <mergeCell ref="B110:B111"/>
    <mergeCell ref="A139:B139"/>
    <mergeCell ref="F137:F138"/>
    <mergeCell ref="C102:C103"/>
    <mergeCell ref="H569:H570"/>
    <mergeCell ref="C569:C570"/>
    <mergeCell ref="D569:D570"/>
    <mergeCell ref="E569:E570"/>
    <mergeCell ref="F569:F570"/>
    <mergeCell ref="H137:H138"/>
    <mergeCell ref="G137:G138"/>
    <mergeCell ref="F175:F176"/>
    <mergeCell ref="D175:D176"/>
    <mergeCell ref="E175:E176"/>
    <mergeCell ref="A85:H85"/>
    <mergeCell ref="A63:B63"/>
    <mergeCell ref="H57:H58"/>
    <mergeCell ref="H87:H88"/>
    <mergeCell ref="H67:H68"/>
    <mergeCell ref="E186:E187"/>
    <mergeCell ref="F186:F187"/>
    <mergeCell ref="E110:E111"/>
    <mergeCell ref="G186:G187"/>
    <mergeCell ref="H175:H176"/>
    <mergeCell ref="A528:B528"/>
    <mergeCell ref="A362:B362"/>
    <mergeCell ref="A131:H131"/>
    <mergeCell ref="E137:E138"/>
    <mergeCell ref="A135:B135"/>
    <mergeCell ref="C87:C88"/>
    <mergeCell ref="D87:D88"/>
    <mergeCell ref="A87:A88"/>
    <mergeCell ref="A118:A119"/>
    <mergeCell ref="B118:B119"/>
    <mergeCell ref="G175:G176"/>
    <mergeCell ref="G87:G88"/>
    <mergeCell ref="C137:C138"/>
    <mergeCell ref="A173:B173"/>
    <mergeCell ref="B175:B176"/>
    <mergeCell ref="C175:C176"/>
    <mergeCell ref="C118:C119"/>
    <mergeCell ref="D118:D119"/>
    <mergeCell ref="A126:B126"/>
    <mergeCell ref="A107:B107"/>
    <mergeCell ref="A591:B591"/>
    <mergeCell ref="A579:B579"/>
    <mergeCell ref="B413:B414"/>
    <mergeCell ref="C413:C414"/>
    <mergeCell ref="A492:B492"/>
    <mergeCell ref="A500:A501"/>
    <mergeCell ref="B500:B501"/>
    <mergeCell ref="C500:C501"/>
    <mergeCell ref="A571:B571"/>
    <mergeCell ref="A567:G567"/>
    <mergeCell ref="A184:B184"/>
    <mergeCell ref="A186:A187"/>
    <mergeCell ref="B186:B187"/>
    <mergeCell ref="C186:C187"/>
    <mergeCell ref="D186:D187"/>
    <mergeCell ref="A177:B177"/>
    <mergeCell ref="A181:B181"/>
    <mergeCell ref="A175:A176"/>
    <mergeCell ref="H204:H205"/>
    <mergeCell ref="H186:H187"/>
    <mergeCell ref="A188:B188"/>
    <mergeCell ref="A192:B192"/>
    <mergeCell ref="H214:H215"/>
    <mergeCell ref="F204:F205"/>
    <mergeCell ref="G204:G205"/>
    <mergeCell ref="A206:B206"/>
    <mergeCell ref="E214:E215"/>
    <mergeCell ref="E340:E341"/>
    <mergeCell ref="F326:F327"/>
    <mergeCell ref="G326:G327"/>
    <mergeCell ref="F214:F215"/>
    <mergeCell ref="E326:E327"/>
    <mergeCell ref="A272:A273"/>
    <mergeCell ref="B272:B273"/>
    <mergeCell ref="C272:C273"/>
    <mergeCell ref="D272:D273"/>
    <mergeCell ref="A274:B274"/>
    <mergeCell ref="F365:F366"/>
    <mergeCell ref="G365:G366"/>
    <mergeCell ref="H365:H366"/>
    <mergeCell ref="F340:F341"/>
    <mergeCell ref="G340:G341"/>
    <mergeCell ref="H340:H341"/>
    <mergeCell ref="A367:B367"/>
    <mergeCell ref="A371:B371"/>
    <mergeCell ref="A242:A243"/>
    <mergeCell ref="B242:B243"/>
    <mergeCell ref="C242:C243"/>
    <mergeCell ref="D242:D243"/>
    <mergeCell ref="A244:B244"/>
    <mergeCell ref="A342:B342"/>
    <mergeCell ref="A306:B306"/>
    <mergeCell ref="A286:B286"/>
    <mergeCell ref="G500:G501"/>
    <mergeCell ref="H500:H501"/>
    <mergeCell ref="H224:H225"/>
    <mergeCell ref="A365:A366"/>
    <mergeCell ref="B365:B366"/>
    <mergeCell ref="C365:C366"/>
    <mergeCell ref="D365:D366"/>
    <mergeCell ref="E365:E366"/>
    <mergeCell ref="G472:G473"/>
    <mergeCell ref="H272:H273"/>
    <mergeCell ref="D500:D501"/>
    <mergeCell ref="E500:E501"/>
    <mergeCell ref="F500:F501"/>
    <mergeCell ref="G432:G433"/>
    <mergeCell ref="H432:H433"/>
    <mergeCell ref="A434:B434"/>
    <mergeCell ref="A446:B446"/>
    <mergeCell ref="A472:A473"/>
    <mergeCell ref="B472:B473"/>
    <mergeCell ref="C472:C473"/>
    <mergeCell ref="F472:F473"/>
    <mergeCell ref="A430:B430"/>
    <mergeCell ref="A432:A433"/>
    <mergeCell ref="B432:B433"/>
    <mergeCell ref="C432:C433"/>
    <mergeCell ref="D432:D433"/>
    <mergeCell ref="E432:E433"/>
    <mergeCell ref="F432:F433"/>
    <mergeCell ref="F413:F414"/>
    <mergeCell ref="G413:G414"/>
    <mergeCell ref="G388:G389"/>
    <mergeCell ref="H388:H389"/>
    <mergeCell ref="F388:F389"/>
    <mergeCell ref="H413:H414"/>
    <mergeCell ref="C388:C389"/>
    <mergeCell ref="D388:D389"/>
    <mergeCell ref="E388:E389"/>
    <mergeCell ref="E472:E473"/>
    <mergeCell ref="A390:B390"/>
    <mergeCell ref="D413:D414"/>
    <mergeCell ref="E413:E414"/>
    <mergeCell ref="D472:D473"/>
    <mergeCell ref="A413:A414"/>
    <mergeCell ref="A465:B465"/>
    <mergeCell ref="F376:F377"/>
    <mergeCell ref="G376:G377"/>
    <mergeCell ref="H376:H377"/>
    <mergeCell ref="A376:A377"/>
    <mergeCell ref="B376:B377"/>
    <mergeCell ref="C376:C377"/>
    <mergeCell ref="D376:D377"/>
    <mergeCell ref="D549:D550"/>
    <mergeCell ref="E549:E550"/>
    <mergeCell ref="E376:E377"/>
    <mergeCell ref="F549:F550"/>
    <mergeCell ref="H549:H550"/>
    <mergeCell ref="A338:B338"/>
    <mergeCell ref="A340:A341"/>
    <mergeCell ref="B340:B341"/>
    <mergeCell ref="C340:C341"/>
    <mergeCell ref="D340:D341"/>
    <mergeCell ref="H326:H327"/>
    <mergeCell ref="A328:B328"/>
    <mergeCell ref="A332:B332"/>
    <mergeCell ref="A316:B316"/>
    <mergeCell ref="A320:B320"/>
    <mergeCell ref="A326:A327"/>
    <mergeCell ref="B326:B327"/>
    <mergeCell ref="C326:C327"/>
    <mergeCell ref="D326:D327"/>
    <mergeCell ref="A324:B324"/>
    <mergeCell ref="D314:D315"/>
    <mergeCell ref="E314:E315"/>
    <mergeCell ref="F314:F315"/>
    <mergeCell ref="G314:G315"/>
    <mergeCell ref="H314:H315"/>
    <mergeCell ref="E272:E273"/>
    <mergeCell ref="F272:F273"/>
    <mergeCell ref="F304:F305"/>
    <mergeCell ref="G304:G305"/>
    <mergeCell ref="H304:H305"/>
    <mergeCell ref="A302:B302"/>
    <mergeCell ref="A314:A315"/>
    <mergeCell ref="B314:B315"/>
    <mergeCell ref="C314:C315"/>
    <mergeCell ref="C304:C305"/>
    <mergeCell ref="B304:B305"/>
    <mergeCell ref="A304:A305"/>
    <mergeCell ref="F242:F243"/>
    <mergeCell ref="G242:G243"/>
    <mergeCell ref="G272:G273"/>
    <mergeCell ref="G292:G293"/>
    <mergeCell ref="E292:E293"/>
    <mergeCell ref="G252:G253"/>
    <mergeCell ref="F252:F253"/>
    <mergeCell ref="E252:E253"/>
    <mergeCell ref="H252:H253"/>
    <mergeCell ref="H242:H243"/>
    <mergeCell ref="B204:B205"/>
    <mergeCell ref="C204:C205"/>
    <mergeCell ref="D204:D205"/>
    <mergeCell ref="E204:E205"/>
    <mergeCell ref="G214:G215"/>
    <mergeCell ref="A210:B210"/>
    <mergeCell ref="A214:A215"/>
    <mergeCell ref="B214:B215"/>
    <mergeCell ref="D214:D215"/>
    <mergeCell ref="A270:B270"/>
    <mergeCell ref="G224:G225"/>
    <mergeCell ref="A226:B226"/>
    <mergeCell ref="A238:B238"/>
    <mergeCell ref="A248:B248"/>
    <mergeCell ref="A224:A225"/>
    <mergeCell ref="E224:E225"/>
    <mergeCell ref="F224:F225"/>
    <mergeCell ref="E242:E243"/>
    <mergeCell ref="A290:B290"/>
    <mergeCell ref="A292:A293"/>
    <mergeCell ref="H472:H473"/>
    <mergeCell ref="D485:D486"/>
    <mergeCell ref="E485:E486"/>
    <mergeCell ref="F485:F486"/>
    <mergeCell ref="G485:G486"/>
    <mergeCell ref="H485:H486"/>
    <mergeCell ref="F292:F293"/>
    <mergeCell ref="A310:B310"/>
    <mergeCell ref="D304:D305"/>
    <mergeCell ref="D292:D293"/>
    <mergeCell ref="A575:B575"/>
    <mergeCell ref="A551:B551"/>
    <mergeCell ref="A546:G546"/>
    <mergeCell ref="A524:B524"/>
    <mergeCell ref="A502:B502"/>
    <mergeCell ref="A498:B498"/>
    <mergeCell ref="G549:G550"/>
    <mergeCell ref="A479:B479"/>
    <mergeCell ref="E304:E305"/>
    <mergeCell ref="A549:A550"/>
    <mergeCell ref="B549:B550"/>
    <mergeCell ref="C549:C550"/>
    <mergeCell ref="A470:B470"/>
    <mergeCell ref="A411:B411"/>
    <mergeCell ref="A408:B408"/>
    <mergeCell ref="A415:B415"/>
    <mergeCell ref="A427:B427"/>
    <mergeCell ref="A487:B487"/>
    <mergeCell ref="A378:B378"/>
    <mergeCell ref="A374:B374"/>
    <mergeCell ref="A483:B483"/>
    <mergeCell ref="A485:A486"/>
    <mergeCell ref="B485:B486"/>
    <mergeCell ref="A474:B474"/>
    <mergeCell ref="A382:B382"/>
    <mergeCell ref="A386:B386"/>
    <mergeCell ref="A388:A389"/>
    <mergeCell ref="B388:B389"/>
    <mergeCell ref="C485:C486"/>
    <mergeCell ref="H292:H293"/>
    <mergeCell ref="A294:B294"/>
    <mergeCell ref="A298:B298"/>
    <mergeCell ref="E451:E452"/>
    <mergeCell ref="F451:F452"/>
    <mergeCell ref="G451:G452"/>
    <mergeCell ref="H451:H452"/>
    <mergeCell ref="B292:B293"/>
    <mergeCell ref="C292:C293"/>
    <mergeCell ref="A261:B261"/>
    <mergeCell ref="A127:B127"/>
    <mergeCell ref="B224:B225"/>
    <mergeCell ref="C224:C225"/>
    <mergeCell ref="D224:D225"/>
    <mergeCell ref="A216:B216"/>
    <mergeCell ref="A220:B220"/>
    <mergeCell ref="A202:B202"/>
    <mergeCell ref="A204:A205"/>
    <mergeCell ref="A254:B254"/>
    <mergeCell ref="E118:E119"/>
    <mergeCell ref="F118:F119"/>
    <mergeCell ref="G118:G119"/>
    <mergeCell ref="H118:H119"/>
    <mergeCell ref="A123:B123"/>
    <mergeCell ref="A252:A253"/>
    <mergeCell ref="B252:B253"/>
    <mergeCell ref="C252:C253"/>
    <mergeCell ref="D252:D253"/>
    <mergeCell ref="C214:C215"/>
    <mergeCell ref="A600:B600"/>
    <mergeCell ref="A99:H99"/>
    <mergeCell ref="A468:B468"/>
    <mergeCell ref="A496:B496"/>
    <mergeCell ref="A449:B449"/>
    <mergeCell ref="A451:A452"/>
    <mergeCell ref="B451:B452"/>
    <mergeCell ref="C451:C452"/>
    <mergeCell ref="D451:D452"/>
    <mergeCell ref="A453:B453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HGPC</cp:lastModifiedBy>
  <cp:lastPrinted>2023-02-15T09:09:34Z</cp:lastPrinted>
  <dcterms:created xsi:type="dcterms:W3CDTF">1996-10-14T23:33:28Z</dcterms:created>
  <dcterms:modified xsi:type="dcterms:W3CDTF">2023-02-15T11:24:05Z</dcterms:modified>
  <cp:category/>
  <cp:version/>
  <cp:contentType/>
  <cp:contentStatus/>
</cp:coreProperties>
</file>